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0" windowWidth="19320" windowHeight="14505" tabRatio="729"/>
  </bookViews>
  <sheets>
    <sheet name="Example" sheetId="1" r:id="rId1"/>
    <sheet name="Steps" sheetId="2" r:id="rId2"/>
  </sheets>
  <externalReferences>
    <externalReference r:id="rId3"/>
    <externalReference r:id="rId4"/>
  </externalReferences>
  <definedNames>
    <definedName name="_xlnm.Print_Area" localSheetId="0">Example!$A$13:$U$308</definedName>
    <definedName name="_xlnm.Print_Titles" localSheetId="0">Example!$13:$20</definedName>
    <definedName name="Z_1BD6D352_BD1E_AC41_B429_BC3DE33A4734_.wvu.PrintArea" localSheetId="0" hidden="1">Example!$A$13:$U$308</definedName>
    <definedName name="Z_1BD6D352_BD1E_AC41_B429_BC3DE33A4734_.wvu.PrintTitles" localSheetId="0" hidden="1">Example!$13:$20</definedName>
    <definedName name="Z_58434AA8_5D5E_4268_8606_182DC31BC82E_.wvu.PrintArea" localSheetId="0" hidden="1">Example!$A$13:$U$308</definedName>
    <definedName name="Z_58434AA8_5D5E_4268_8606_182DC31BC82E_.wvu.PrintTitles" localSheetId="0" hidden="1">Example!$13:$20</definedName>
    <definedName name="Z_7767E51F_6FE1_486C_BA0E_724825291E5B_.wvu.PrintArea" localSheetId="0" hidden="1">Example!$A$13:$U$308</definedName>
    <definedName name="Z_7767E51F_6FE1_486C_BA0E_724825291E5B_.wvu.PrintTitles" localSheetId="0" hidden="1">Example!$13:$20</definedName>
    <definedName name="Z_7EAC36F0_8338_4A66_B95B_07206D8A8A4D_.wvu.PrintArea" localSheetId="0" hidden="1">Example!$A$13:$U$308</definedName>
    <definedName name="Z_7EAC36F0_8338_4A66_B95B_07206D8A8A4D_.wvu.PrintTitles" localSheetId="0" hidden="1">Example!$13:$20</definedName>
  </definedNames>
  <calcPr calcId="125725"/>
  <customWorkbookViews>
    <customWorkbookView name="Christoph Tagwerker - Personal View" guid="{7EAC36F0-8338-4A66-B95B-07206D8A8A4D}" mergeInterval="0" personalView="1" maximized="1" xWindow="1" yWindow="1" windowWidth="1276" windowHeight="761" tabRatio="729" activeSheetId="1"/>
    <customWorkbookView name="Tom Navaro - Personal View" guid="{58434AA8-5D5E-4268-8606-182DC31BC82E}" mergeInterval="0" personalView="1" maximized="1" windowWidth="1276" windowHeight="878" tabRatio="729" activeSheetId="1"/>
    <customWorkbookView name="Claire Navaro - Personal View" guid="{1BD6D352-BD1E-AC41-B429-BC3DE33A4734}" mergeInterval="0" personalView="1" xWindow="30" yWindow="105" windowWidth="1136" windowHeight="620" tabRatio="729" activeSheetId="1" showFormulaBar="0"/>
    <customWorkbookView name="Gerhard Knoll - Personal View" guid="{7767E51F-6FE1-486C-BA0E-724825291E5B}" mergeInterval="0" personalView="1" maximized="1" xWindow="1" yWindow="1" windowWidth="1276" windowHeight="761" tabRatio="729" activeSheetId="1"/>
  </customWorkbookViews>
</workbook>
</file>

<file path=xl/calcChain.xml><?xml version="1.0" encoding="utf-8"?>
<calcChain xmlns="http://schemas.openxmlformats.org/spreadsheetml/2006/main">
  <c r="S113" i="1"/>
  <c r="S114"/>
  <c r="H152"/>
  <c r="L152" s="1"/>
  <c r="Q152"/>
  <c r="Q153" s="1"/>
  <c r="H153"/>
  <c r="L153" s="1"/>
  <c r="E160"/>
  <c r="G160" s="1"/>
  <c r="G161"/>
  <c r="B166"/>
  <c r="K166"/>
  <c r="M166"/>
  <c r="F175"/>
  <c r="Q175" s="1"/>
  <c r="F177"/>
  <c r="D184"/>
  <c r="E184"/>
  <c r="G184"/>
  <c r="M184"/>
  <c r="D185"/>
  <c r="E185"/>
  <c r="F185" s="1"/>
  <c r="G185"/>
  <c r="M185"/>
  <c r="G195"/>
  <c r="L225"/>
  <c r="H248"/>
  <c r="L248" s="1"/>
  <c r="Q248"/>
  <c r="H249"/>
  <c r="L249" s="1"/>
  <c r="Q249"/>
  <c r="S292"/>
  <c r="S295" s="1"/>
  <c r="S303" s="1"/>
  <c r="S293"/>
  <c r="S294"/>
  <c r="F184" l="1"/>
  <c r="I184" s="1"/>
  <c r="I185"/>
  <c r="P185" s="1"/>
  <c r="R185" s="1"/>
  <c r="Q171" s="1"/>
  <c r="Q172"/>
  <c r="P184"/>
  <c r="R184" s="1"/>
  <c r="F171" s="1"/>
  <c r="F173" s="1"/>
  <c r="N152"/>
  <c r="N153" l="1"/>
  <c r="R152"/>
  <c r="G199"/>
  <c r="G269" s="1"/>
  <c r="Q173"/>
  <c r="G200"/>
  <c r="G270" s="1"/>
  <c r="M177"/>
  <c r="G191" l="1"/>
  <c r="S152"/>
  <c r="R153"/>
  <c r="E159"/>
  <c r="S177"/>
  <c r="E254"/>
  <c r="J254"/>
  <c r="G159" l="1"/>
  <c r="R166" s="1"/>
  <c r="S257" s="1"/>
  <c r="M159"/>
  <c r="P166" s="1"/>
  <c r="Q257" s="1"/>
  <c r="S153"/>
  <c r="G196" s="1"/>
  <c r="E161"/>
  <c r="G265"/>
  <c r="L254"/>
  <c r="E166" l="1"/>
  <c r="E162"/>
  <c r="G162" s="1"/>
  <c r="F179"/>
  <c r="H254"/>
  <c r="L231" s="1"/>
  <c r="G263" s="1"/>
  <c r="L233" s="1"/>
  <c r="F166" l="1"/>
  <c r="S160" s="1"/>
  <c r="S159"/>
  <c r="N248"/>
  <c r="R248" s="1"/>
  <c r="S248" s="1"/>
  <c r="G264"/>
  <c r="N249" s="1"/>
  <c r="R249" s="1"/>
  <c r="S249" s="1"/>
  <c r="G266" l="1"/>
  <c r="Q286" s="1"/>
  <c r="Q287" s="1"/>
  <c r="S162"/>
  <c r="S161" s="1"/>
  <c r="D254"/>
  <c r="G197" l="1"/>
  <c r="G192"/>
  <c r="Q179"/>
  <c r="G193" s="1"/>
  <c r="G198" l="1"/>
  <c r="G201" s="1"/>
  <c r="G271" s="1"/>
  <c r="G202" l="1"/>
  <c r="G272" s="1"/>
  <c r="G268"/>
  <c r="G267" s="1"/>
  <c r="G262" s="1"/>
  <c r="G273" s="1"/>
  <c r="S300" l="1"/>
  <c r="S301" s="1"/>
  <c r="Q281"/>
  <c r="S305" l="1"/>
  <c r="Q282"/>
</calcChain>
</file>

<file path=xl/sharedStrings.xml><?xml version="1.0" encoding="utf-8"?>
<sst xmlns="http://schemas.openxmlformats.org/spreadsheetml/2006/main" count="558" uniqueCount="386">
  <si>
    <t xml:space="preserve">The temperature at the input and output terminals of the main switch and starter are high (above 40 ° C); consider performing predictive and preventive maintenance to maintain the good operation of equipment. </t>
    <phoneticPr fontId="23" type="noConversion"/>
  </si>
  <si>
    <t>The pump efficiency is very low (33.36%), so we recommend replacing it</t>
    <phoneticPr fontId="23" type="noConversion"/>
  </si>
  <si>
    <t>NEC BS</t>
  </si>
  <si>
    <t>D-3364605</t>
  </si>
  <si>
    <t>PROTECTION</t>
  </si>
  <si>
    <t>Van:</t>
  </si>
  <si>
    <t>Vbn:</t>
  </si>
  <si>
    <t>Vcn:</t>
  </si>
  <si>
    <t>VOLTAGE IN PHASES:</t>
  </si>
  <si>
    <t>NOTE 1: The cells in green will be calculated automatically, do not enter any information.</t>
  </si>
  <si>
    <t>NOTE 2: The cells in yellow must be filled with the proper information according to the reference manual.</t>
  </si>
  <si>
    <t>DATA COLLECTION</t>
  </si>
  <si>
    <t>ECONOMIC ANALYSIS</t>
  </si>
  <si>
    <t>masl</t>
    <phoneticPr fontId="23" type="noConversion"/>
  </si>
  <si>
    <t>Elevation of the highest delivery point:</t>
    <phoneticPr fontId="23" type="noConversion"/>
  </si>
  <si>
    <t>Effic. 75%</t>
  </si>
  <si>
    <t>Effic 100%</t>
  </si>
  <si>
    <t>minimum</t>
  </si>
  <si>
    <t>average</t>
  </si>
  <si>
    <t>high</t>
  </si>
  <si>
    <t>low</t>
  </si>
  <si>
    <t>The direct benefits come from the reduction of losses in the pump and motor</t>
  </si>
  <si>
    <t>6.1  CALCULATION OF SAVINGS</t>
  </si>
  <si>
    <t>Calculation of Savings</t>
  </si>
  <si>
    <t>6.2  INVESTMENT CALCULATION</t>
  </si>
  <si>
    <t>Item</t>
  </si>
  <si>
    <t>Submersible pump motor assembly</t>
  </si>
  <si>
    <t>TOTAL:</t>
  </si>
  <si>
    <t>USD/kWh</t>
  </si>
  <si>
    <t xml:space="preserve">6.3  PROFITABILITY ANALYSIS </t>
  </si>
  <si>
    <t>Investment Calculation</t>
  </si>
  <si>
    <t>Profitability Analysis</t>
  </si>
  <si>
    <t xml:space="preserve">The power factor is low (78%), so it is recommended to install capacitor banks to reduce losses in electrical conductors by joule effect.
</t>
  </si>
  <si>
    <t xml:space="preserve"> 3.1  ELECTRICAL CONDUCTORS EVALUATION</t>
  </si>
  <si>
    <t>3.2  MOTOR EVALUATION</t>
  </si>
  <si>
    <t>3.3  PUMP EVALUATION</t>
  </si>
  <si>
    <t>3.4  ACTUAL ENERGY BALANCE</t>
  </si>
  <si>
    <t>5.3  EXPECTED ENERGY BALANCE</t>
  </si>
  <si>
    <t>TOPOGRAPHY:</t>
  </si>
  <si>
    <t>Suction &amp; discharge pipe losses</t>
  </si>
  <si>
    <t>Description</t>
  </si>
  <si>
    <t>Replace sumersible pump equipment ; create a new proposal</t>
    <phoneticPr fontId="23" type="noConversion"/>
  </si>
  <si>
    <t>Energy Saved</t>
    <phoneticPr fontId="23" type="noConversion"/>
  </si>
  <si>
    <t>Electricity Savings invoice</t>
    <phoneticPr fontId="23" type="noConversion"/>
  </si>
  <si>
    <t>Remove current pumping equipment and install proposed</t>
    <phoneticPr fontId="23" type="noConversion"/>
  </si>
  <si>
    <t>Install capacitors bank</t>
    <phoneticPr fontId="23" type="noConversion"/>
  </si>
  <si>
    <t>kWh/year</t>
    <phoneticPr fontId="23" type="noConversion"/>
  </si>
  <si>
    <t>kWh/year</t>
    <phoneticPr fontId="23" type="noConversion"/>
  </si>
  <si>
    <t>USD/year</t>
    <phoneticPr fontId="23" type="noConversion"/>
  </si>
  <si>
    <t>The proposed motor will work with a better power factor and will demand a lower current, which results in a reduced joule effect on conductors.</t>
    <phoneticPr fontId="23" type="noConversion"/>
  </si>
  <si>
    <t>Savings: energy conductors</t>
    <phoneticPr fontId="23" type="noConversion"/>
  </si>
  <si>
    <t>Savings: electricity invoice</t>
    <phoneticPr fontId="23" type="noConversion"/>
  </si>
  <si>
    <t>Motor Evaluation</t>
  </si>
  <si>
    <t>Pump Evaluation</t>
  </si>
  <si>
    <t>Actual Energy Balance</t>
  </si>
  <si>
    <t>Comments and Savings Opportunities</t>
  </si>
  <si>
    <t>SAVINGS PROJECT</t>
  </si>
  <si>
    <t>SAVINGS EVALUATION</t>
  </si>
  <si>
    <t xml:space="preserve">4.1  SAVINGS PROPOSAL DESCRIPTION
</t>
  </si>
  <si>
    <t xml:space="preserve"> The well is deviated, so the pump must be submersible.</t>
  </si>
  <si>
    <t>Install a capacitor bank.</t>
  </si>
  <si>
    <t>Savings Proposal Description</t>
  </si>
  <si>
    <t>4.2  EQUIPMENT SPECIFICATION</t>
  </si>
  <si>
    <t>GROUND SYSTEM:</t>
  </si>
  <si>
    <t>OBSERVATONS:</t>
  </si>
  <si>
    <t>Main circuit</t>
  </si>
  <si>
    <t>Continuity:</t>
  </si>
  <si>
    <t>Control Equipment</t>
  </si>
  <si>
    <t>Output Switch</t>
  </si>
  <si>
    <t>Starter Input</t>
  </si>
  <si>
    <t>Starter Output</t>
  </si>
  <si>
    <t>Housing</t>
  </si>
  <si>
    <t>Bearings</t>
  </si>
  <si>
    <t>Upper</t>
  </si>
  <si>
    <t>Lower</t>
  </si>
  <si>
    <t>Feeder Terminals</t>
  </si>
  <si>
    <t>Low Voltage Terminals</t>
  </si>
  <si>
    <t>Frame</t>
  </si>
  <si>
    <t>Radiator</t>
  </si>
  <si>
    <t>TRANSFORMERS</t>
  </si>
  <si>
    <t>Starter-Motor</t>
  </si>
  <si>
    <t>iv.</t>
  </si>
  <si>
    <t>8 AWG</t>
  </si>
  <si>
    <t>Current</t>
  </si>
  <si>
    <t>Caliber</t>
  </si>
  <si>
    <t>Energy Audit of Pumping System</t>
  </si>
  <si>
    <t>SYSTEM:</t>
  </si>
  <si>
    <t>EQUIPMENT:</t>
  </si>
  <si>
    <t>--</t>
  </si>
  <si>
    <t>40A</t>
  </si>
  <si>
    <t>32-40A</t>
  </si>
  <si>
    <t>Density:</t>
  </si>
  <si>
    <t>LEVELS:</t>
  </si>
  <si>
    <t>Tank suction level  (A):</t>
  </si>
  <si>
    <t>Suction Pipe Length (B):</t>
  </si>
  <si>
    <t>Height of Gauge (D):</t>
  </si>
  <si>
    <t>Diameter (m)</t>
  </si>
  <si>
    <t>Material</t>
  </si>
  <si>
    <t>Speed (m/s)</t>
  </si>
  <si>
    <t>SS</t>
  </si>
  <si>
    <t>Resistance:</t>
  </si>
  <si>
    <t>Switch Input</t>
  </si>
  <si>
    <t>Length</t>
  </si>
  <si>
    <t>Electrical Line: Indicate the beginning and the end of the line being evaluated</t>
    <phoneticPr fontId="23" type="noConversion"/>
  </si>
  <si>
    <t xml:space="preserve">3.5  COMMENTS AND SAVINGS OPPORTUNITIES
</t>
    <phoneticPr fontId="23" type="noConversion"/>
  </si>
  <si>
    <t xml:space="preserve">There are several anomalies in the ground system, so a full assessment of standards compliance is recommended.
</t>
    <phoneticPr fontId="23" type="noConversion"/>
  </si>
  <si>
    <t>The imbalance in the calculated power is high, which is an indication that the motor is working poorly.</t>
    <phoneticPr fontId="23" type="noConversion"/>
  </si>
  <si>
    <t>Actions</t>
    <phoneticPr fontId="23" type="noConversion"/>
  </si>
  <si>
    <t>Equipment Specification</t>
  </si>
  <si>
    <t>rpm</t>
  </si>
  <si>
    <t>Action Plan</t>
  </si>
  <si>
    <t>4.3  ACTION PLAN</t>
  </si>
  <si>
    <t>Fluid Characteristics</t>
  </si>
  <si>
    <t>5.1  ELECTRICAL CONDUCTORS EVALUATION</t>
  </si>
  <si>
    <t>5.2  MOTOR EFFICIENCY CALCULATION</t>
  </si>
  <si>
    <t>Motor Efficiency Calculation</t>
  </si>
  <si>
    <t>Expected Energy Balance</t>
  </si>
  <si>
    <t>Suction pipe losses</t>
  </si>
  <si>
    <t xml:space="preserve">Network head losses </t>
  </si>
  <si>
    <t>Power factor</t>
  </si>
  <si>
    <t>Savings</t>
  </si>
  <si>
    <t>37 A</t>
  </si>
  <si>
    <t>GRUNDFOS</t>
  </si>
  <si>
    <t>Sp 45-4N</t>
  </si>
  <si>
    <t>5 RWAHC (3 Stages)</t>
  </si>
  <si>
    <t>12 AWG</t>
  </si>
  <si>
    <t>HP</t>
  </si>
  <si>
    <t>V</t>
  </si>
  <si>
    <t xml:space="preserve"> </t>
  </si>
  <si>
    <t>RPM</t>
  </si>
  <si>
    <t>kW</t>
  </si>
  <si>
    <t>NO</t>
  </si>
  <si>
    <t>kVAr</t>
  </si>
  <si>
    <t>A</t>
  </si>
  <si>
    <t>Frame:</t>
  </si>
  <si>
    <t>Material:</t>
  </si>
  <si>
    <t>m</t>
  </si>
  <si>
    <t>Ia:</t>
  </si>
  <si>
    <t>Ib:</t>
  </si>
  <si>
    <t>Ic:</t>
  </si>
  <si>
    <t>Pa:</t>
  </si>
  <si>
    <t>Pb:</t>
  </si>
  <si>
    <t>Pc:</t>
  </si>
  <si>
    <t>m/s</t>
  </si>
  <si>
    <t>Ω</t>
  </si>
  <si>
    <t>B</t>
  </si>
  <si>
    <t>C</t>
  </si>
  <si>
    <t>X1</t>
  </si>
  <si>
    <t>X0</t>
  </si>
  <si>
    <t>X2</t>
  </si>
  <si>
    <t>X3</t>
  </si>
  <si>
    <t>MOTOR</t>
  </si>
  <si>
    <t>Ω/km</t>
  </si>
  <si>
    <t>V/Vn</t>
  </si>
  <si>
    <t>Reynolds</t>
  </si>
  <si>
    <t>mm</t>
  </si>
  <si>
    <t>mca</t>
  </si>
  <si>
    <t>FA ant</t>
  </si>
  <si>
    <t>FA rew</t>
  </si>
  <si>
    <t>FA vv</t>
  </si>
  <si>
    <t>FA dv</t>
  </si>
  <si>
    <t>Pipe losses</t>
  </si>
  <si>
    <t>Q</t>
  </si>
  <si>
    <t>v</t>
  </si>
  <si>
    <t>Visco</t>
  </si>
  <si>
    <t>fr</t>
  </si>
  <si>
    <t>Hfr</t>
  </si>
  <si>
    <t>Suction</t>
  </si>
  <si>
    <t>Discharge</t>
  </si>
  <si>
    <t>%</t>
  </si>
  <si>
    <t xml:space="preserve">kW </t>
  </si>
  <si>
    <t>a).</t>
  </si>
  <si>
    <t>b).</t>
  </si>
  <si>
    <t>c).</t>
  </si>
  <si>
    <t>d).</t>
  </si>
  <si>
    <t>e).</t>
  </si>
  <si>
    <t>i.</t>
  </si>
  <si>
    <t>ii.</t>
  </si>
  <si>
    <t>Total:</t>
  </si>
  <si>
    <t>°C</t>
  </si>
  <si>
    <t>BHP</t>
  </si>
  <si>
    <t>iii.</t>
  </si>
  <si>
    <t>Goulds</t>
  </si>
  <si>
    <t>Date:</t>
  </si>
  <si>
    <t>Reuse the same electric conductor and control equipment</t>
  </si>
  <si>
    <t>Stator Resistance Starter</t>
  </si>
  <si>
    <t>3W / Conduit</t>
  </si>
  <si>
    <t>closed</t>
  </si>
  <si>
    <t>Grounded motor?</t>
  </si>
  <si>
    <t>Grounded transformed?</t>
  </si>
  <si>
    <t>Did not find continuity in the grounding wire, so no measurements were made of current and resistance</t>
  </si>
  <si>
    <t>1.1.  ELECTRICAL SYSTEM</t>
  </si>
  <si>
    <t>Electrical System</t>
  </si>
  <si>
    <t xml:space="preserve">1.2 NOMINAL MOTOR DATA </t>
  </si>
  <si>
    <t>Nominal Motor Data</t>
  </si>
  <si>
    <t xml:space="preserve">1.3 NOMINAL PUMP DATA </t>
  </si>
  <si>
    <t>Nominal Pump Data</t>
  </si>
  <si>
    <t xml:space="preserve">1.4  FLUID CHARACTERISTICS </t>
  </si>
  <si>
    <t>2.1  HYDRAULIC MEASUREMENTS</t>
  </si>
  <si>
    <t>2.2  ELECTRICAL MEASUREMENTS</t>
  </si>
  <si>
    <t>MEASUREMENTS</t>
  </si>
  <si>
    <t>Hydraulic Measurements</t>
  </si>
  <si>
    <t>Electrical Measurements</t>
  </si>
  <si>
    <t>2.3  TEMPERATURE MEASUREMENTS</t>
  </si>
  <si>
    <t>Temperature Measurements</t>
  </si>
  <si>
    <t>EVALUATION</t>
  </si>
  <si>
    <t>Electrical Conductors Evaluation</t>
  </si>
  <si>
    <t>POWER SUPPLY:</t>
  </si>
  <si>
    <t>Supplier:</t>
  </si>
  <si>
    <t>Contract Tariff:</t>
  </si>
  <si>
    <t>TRANSFORMER:</t>
  </si>
  <si>
    <t>Type:</t>
  </si>
  <si>
    <t>Capacity:</t>
  </si>
  <si>
    <t>Rated Voltage:</t>
  </si>
  <si>
    <t>MAIN SWITCH</t>
  </si>
  <si>
    <t>Make:</t>
  </si>
  <si>
    <t>Setting:</t>
  </si>
  <si>
    <t>Moeller electric</t>
  </si>
  <si>
    <t>STARTER:</t>
  </si>
  <si>
    <t>MOELLER ELECTRIC</t>
  </si>
  <si>
    <t>CAPACITORS</t>
  </si>
  <si>
    <t>GROUNDING SYSTEM</t>
  </si>
  <si>
    <t>Is there a grounding system?</t>
  </si>
  <si>
    <t xml:space="preserve">Separated neutral and ground? </t>
  </si>
  <si>
    <t>Grounded starter?</t>
  </si>
  <si>
    <t>YES</t>
  </si>
  <si>
    <t>CONDUCTORS</t>
  </si>
  <si>
    <t>Service  Entrance - Starter</t>
  </si>
  <si>
    <t>Caliber:</t>
  </si>
  <si>
    <t>Length:</t>
  </si>
  <si>
    <t>Grouping:</t>
  </si>
  <si>
    <t>Starter - Motor</t>
  </si>
  <si>
    <t>Speed:</t>
  </si>
  <si>
    <t>Voltage:</t>
  </si>
  <si>
    <t>Current:</t>
  </si>
  <si>
    <t>Efficiency:</t>
  </si>
  <si>
    <t>SUBMERSIBLE</t>
  </si>
  <si>
    <t>HISTORY:</t>
  </si>
  <si>
    <t>Age:</t>
  </si>
  <si>
    <t>OBSERVATIONS:</t>
  </si>
  <si>
    <t>years</t>
  </si>
  <si>
    <t>Operation:</t>
  </si>
  <si>
    <t>hrs/year</t>
  </si>
  <si>
    <t># of rewindings:</t>
  </si>
  <si>
    <t>FRAME</t>
  </si>
  <si>
    <t>Model:</t>
  </si>
  <si>
    <t>IMPELLER</t>
  </si>
  <si>
    <t>Diameter:</t>
  </si>
  <si>
    <t>SHAFT:</t>
  </si>
  <si>
    <t>DESIGN DATA:</t>
  </si>
  <si>
    <t>Fluid:</t>
  </si>
  <si>
    <t>water</t>
  </si>
  <si>
    <t>mwc</t>
  </si>
  <si>
    <t>CURRENT PHASE:</t>
  </si>
  <si>
    <t>ACTIVE POWER:</t>
  </si>
  <si>
    <t>POWER FACTOR</t>
  </si>
  <si>
    <t>HARMONIC DISTORTION:</t>
  </si>
  <si>
    <t>MEASUREMENT POINT:</t>
  </si>
  <si>
    <t>CAPACITOR CHECK:</t>
  </si>
  <si>
    <t>Nameplate Data:</t>
  </si>
  <si>
    <t>Distance of Discharge Pressure Gauge (C)</t>
    <phoneticPr fontId="23" type="noConversion"/>
  </si>
  <si>
    <t>Deviation from design:</t>
    <phoneticPr fontId="23" type="noConversion"/>
  </si>
  <si>
    <t>Make:</t>
    <phoneticPr fontId="23" type="noConversion"/>
  </si>
  <si>
    <t>Resistance</t>
  </si>
  <si>
    <t>Losses</t>
  </si>
  <si>
    <t>h/year</t>
  </si>
  <si>
    <t>kWh/year</t>
  </si>
  <si>
    <t>Current status</t>
  </si>
  <si>
    <t>Transformer-Starter</t>
  </si>
  <si>
    <t>Average</t>
  </si>
  <si>
    <t>Unbalance</t>
  </si>
  <si>
    <t xml:space="preserve">Status </t>
  </si>
  <si>
    <t xml:space="preserve"> EFFICIENCY EVALUATION</t>
  </si>
  <si>
    <t>VOLTAGE (V)</t>
  </si>
  <si>
    <t>CURRENT (A)</t>
  </si>
  <si>
    <t>POWER (kW)</t>
  </si>
  <si>
    <t>MOTOR EFFICIENCY EVALUATION</t>
  </si>
  <si>
    <t>PUMPING LOAD</t>
  </si>
  <si>
    <t>Discharge line losses:</t>
  </si>
  <si>
    <t>Discharge line speed:</t>
  </si>
  <si>
    <t>FLOW</t>
  </si>
  <si>
    <t>Deviation from the design:</t>
  </si>
  <si>
    <t>MANOMETER POWER</t>
  </si>
  <si>
    <t>Design:</t>
  </si>
  <si>
    <t>Measurements:</t>
  </si>
  <si>
    <t>Deviation:</t>
  </si>
  <si>
    <t>EFFICIENCY:</t>
  </si>
  <si>
    <t>Parameter</t>
  </si>
  <si>
    <t>Unit</t>
  </si>
  <si>
    <t>Amount</t>
  </si>
  <si>
    <t>Energy consumption</t>
  </si>
  <si>
    <t>Motor efficiency</t>
  </si>
  <si>
    <t>Pump efficiency</t>
  </si>
  <si>
    <t>Leakage losses</t>
  </si>
  <si>
    <t>Useful head</t>
  </si>
  <si>
    <t>Electrical losses</t>
  </si>
  <si>
    <t>Motor losses</t>
  </si>
  <si>
    <t>Pump losses</t>
  </si>
  <si>
    <t>Useful work</t>
  </si>
  <si>
    <t>Site:</t>
  </si>
  <si>
    <t>UTILITY:</t>
  </si>
  <si>
    <t>Service No.:</t>
  </si>
  <si>
    <t>3 x 25 kVA</t>
  </si>
  <si>
    <t>13,800 / 440 V</t>
  </si>
  <si>
    <t>40 HP</t>
  </si>
  <si>
    <t>The motor has been overloaded and stopped five times this year for a period of 2 hours</t>
  </si>
  <si>
    <t>SF:</t>
  </si>
  <si>
    <t>The pump has been stopped for 24 hours. There are no records of the pump's age</t>
  </si>
  <si>
    <t>Design Flow:</t>
  </si>
  <si>
    <t>Design Head:</t>
  </si>
  <si>
    <t>Temperature:</t>
  </si>
  <si>
    <t>Elevation of the pump site:</t>
  </si>
  <si>
    <t>THD-V:</t>
  </si>
  <si>
    <t>THD-I:</t>
  </si>
  <si>
    <t>Operat.</t>
  </si>
  <si>
    <r>
      <rPr>
        <sz val="14"/>
        <rFont val="Calibri"/>
        <family val="2"/>
      </rPr>
      <t>η</t>
    </r>
    <r>
      <rPr>
        <sz val="12"/>
        <rFont val="Arial"/>
        <family val="2"/>
      </rPr>
      <t xml:space="preserve"> </t>
    </r>
    <r>
      <rPr>
        <sz val="10"/>
        <rFont val="Arial"/>
      </rPr>
      <t>nominal:</t>
    </r>
  </si>
  <si>
    <t>Decrease:</t>
  </si>
  <si>
    <r>
      <rPr>
        <sz val="14"/>
        <rFont val="Calibri"/>
        <family val="2"/>
      </rPr>
      <t>η</t>
    </r>
    <r>
      <rPr>
        <sz val="12"/>
        <rFont val="Arial"/>
        <family val="2"/>
      </rPr>
      <t xml:space="preserve"> </t>
    </r>
    <r>
      <rPr>
        <sz val="10"/>
        <rFont val="Arial"/>
      </rPr>
      <t>real:</t>
    </r>
  </si>
  <si>
    <t>Flow measured:</t>
  </si>
  <si>
    <t>Electromecanical efficiency:</t>
  </si>
  <si>
    <t>1).</t>
  </si>
  <si>
    <t>2).</t>
  </si>
  <si>
    <t>Number of phases:</t>
  </si>
  <si>
    <t>Angular velocity:</t>
  </si>
  <si>
    <t>Electromechanical efficiency:</t>
  </si>
  <si>
    <t>Install check valve</t>
  </si>
  <si>
    <t xml:space="preserve">Replace the sumersible pump and motor for more efficient equipment. The proposed equipment needs to be submersible because of the deviated well.
 </t>
  </si>
  <si>
    <t>PF</t>
  </si>
  <si>
    <t>USD:</t>
  </si>
  <si>
    <t>Reduction of Energy Consumption (kWh/year):</t>
  </si>
  <si>
    <t>Savings (USD/year):</t>
  </si>
  <si>
    <r>
      <t>Pressure (kg/cm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</si>
  <si>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mm</t>
    </r>
    <r>
      <rPr>
        <vertAlign val="superscript"/>
        <sz val="10"/>
        <rFont val="Arial"/>
        <family val="2"/>
      </rPr>
      <t>2</t>
    </r>
  </si>
  <si>
    <t>l/s</t>
  </si>
  <si>
    <r>
      <t>kg/m</t>
    </r>
    <r>
      <rPr>
        <vertAlign val="superscript"/>
        <sz val="9"/>
        <rFont val="Arial"/>
        <family val="2"/>
      </rPr>
      <t>3</t>
    </r>
  </si>
  <si>
    <t>Flow (l/s)</t>
  </si>
  <si>
    <r>
      <t>kg/m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</si>
  <si>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</si>
  <si>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</si>
  <si>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</si>
  <si>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/s</t>
    </r>
  </si>
  <si>
    <t>kVar</t>
  </si>
  <si>
    <t>years:</t>
  </si>
  <si>
    <t>AWG</t>
  </si>
  <si>
    <t xml:space="preserve"> (meters above sea level)</t>
  </si>
  <si>
    <t>Capacitors Bank  5 kVar, 480 Volts. Supply and installation</t>
  </si>
  <si>
    <t>Pole-mounted three phase</t>
  </si>
  <si>
    <t>inches</t>
  </si>
  <si>
    <t>PFa:</t>
  </si>
  <si>
    <t>PFb:</t>
  </si>
  <si>
    <t>PFc:</t>
  </si>
  <si>
    <t>Effic'</t>
  </si>
  <si>
    <t>LF-Load Factor:</t>
  </si>
  <si>
    <t>LF</t>
  </si>
  <si>
    <t>Horse Power</t>
  </si>
  <si>
    <t>PF-Power Factor</t>
  </si>
  <si>
    <t>Effic. 100%</t>
  </si>
  <si>
    <t>Effic. Nom.</t>
  </si>
  <si>
    <t>Rug. Abs.</t>
  </si>
  <si>
    <t>Rug. Rel.</t>
  </si>
  <si>
    <t>Pump efficiency :</t>
  </si>
  <si>
    <t>Nominal power:</t>
  </si>
  <si>
    <t>Nominal voltage:</t>
  </si>
  <si>
    <t>Efficiency at full load:</t>
  </si>
  <si>
    <t>Power demand</t>
  </si>
  <si>
    <t>Direct savings</t>
  </si>
  <si>
    <t>Energy cost</t>
  </si>
  <si>
    <t>Additional savings:</t>
  </si>
  <si>
    <t>Total savings:</t>
  </si>
  <si>
    <t>Total investment:</t>
  </si>
  <si>
    <t>Pay-back period:</t>
  </si>
  <si>
    <t>Pump specification</t>
  </si>
  <si>
    <t>Motor specification</t>
  </si>
  <si>
    <t>Capacitor bank</t>
  </si>
  <si>
    <t>Unit price (USD)</t>
  </si>
  <si>
    <t>Total cost (USD)</t>
  </si>
  <si>
    <t>Electrical line: Indicate the beginning and the end of the line being evaluated</t>
  </si>
  <si>
    <t>Pump efficiency:</t>
  </si>
  <si>
    <t>Suction line losses:</t>
  </si>
  <si>
    <t>Specific gravity of fluid:</t>
  </si>
  <si>
    <t>Net pumping load:</t>
  </si>
  <si>
    <t>wcm</t>
  </si>
  <si>
    <t>P propsed</t>
  </si>
  <si>
    <t>Erfic. Real</t>
  </si>
  <si>
    <t xml:space="preserve">EVALUATION OF WATER PUMPING SYSTEMS </t>
  </si>
  <si>
    <t>Calculation Sheet</t>
  </si>
</sst>
</file>

<file path=xl/styles.xml><?xml version="1.0" encoding="utf-8"?>
<styleSheet xmlns="http://schemas.openxmlformats.org/spreadsheetml/2006/main">
  <numFmts count="15">
    <numFmt numFmtId="164" formatCode="&quot;$&quot;#,##0.00;[Red]\-&quot;$&quot;#,##0.00"/>
    <numFmt numFmtId="165" formatCode="_-* #,##0.00_-;\-* #,##0.00_-;_-* &quot;-&quot;??_-;_-@_-"/>
    <numFmt numFmtId="166" formatCode="_(&quot;₡&quot;* #,##0.00_);_(&quot;₡&quot;* \(#,##0.00\);_(&quot;₡&quot;* &quot;-&quot;??_);_(@_)"/>
    <numFmt numFmtId="167" formatCode="0.000"/>
    <numFmt numFmtId="168" formatCode="0.0"/>
    <numFmt numFmtId="169" formatCode="0.0000"/>
    <numFmt numFmtId="170" formatCode="0.0%"/>
    <numFmt numFmtId="171" formatCode="_-* #,##0.00\ [$€]_-;\-* #,##0.00\ [$€]_-;_-* &quot;-&quot;??\ [$€]_-;_-@_-"/>
    <numFmt numFmtId="172" formatCode="0.000000"/>
    <numFmt numFmtId="173" formatCode="0.000E+00"/>
    <numFmt numFmtId="174" formatCode="[$-409]d\-mmm\-yy;@"/>
    <numFmt numFmtId="175" formatCode="0.0E+00"/>
    <numFmt numFmtId="176" formatCode="#,##0.0"/>
    <numFmt numFmtId="177" formatCode="0.00000"/>
    <numFmt numFmtId="178" formatCode="#,##0.000"/>
  </numFmts>
  <fonts count="3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.1999999999999993"/>
      <name val="Arial"/>
      <family val="2"/>
    </font>
    <font>
      <sz val="14"/>
      <name val="Calibri"/>
      <family val="2"/>
    </font>
    <font>
      <sz val="10"/>
      <name val="Arial"/>
    </font>
    <font>
      <sz val="11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strike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9"/>
      <name val="Arial"/>
      <family val="2"/>
    </font>
    <font>
      <sz val="10"/>
      <name val="Arial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8"/>
      <name val="Verdana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hadow/>
      <sz val="20"/>
      <color indexed="56"/>
      <name val="Arial"/>
      <family val="2"/>
    </font>
    <font>
      <b/>
      <shadow/>
      <sz val="16"/>
      <color indexed="5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5" fontId="18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right"/>
    </xf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9" xfId="0" applyBorder="1"/>
    <xf numFmtId="15" fontId="0" fillId="0" borderId="0" xfId="0" applyNumberFormat="1" applyBorder="1" applyAlignment="1"/>
    <xf numFmtId="0" fontId="0" fillId="0" borderId="2" xfId="0" applyBorder="1" applyAlignment="1"/>
    <xf numFmtId="0" fontId="0" fillId="0" borderId="4" xfId="0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0" fillId="0" borderId="6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10" fontId="1" fillId="0" borderId="0" xfId="4" applyNumberFormat="1" applyFont="1" applyFill="1" applyBorder="1" applyAlignment="1"/>
    <xf numFmtId="0" fontId="1" fillId="0" borderId="0" xfId="0" applyFont="1" applyFill="1"/>
    <xf numFmtId="0" fontId="1" fillId="0" borderId="0" xfId="0" applyFont="1"/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Border="1"/>
    <xf numFmtId="0" fontId="1" fillId="0" borderId="5" xfId="0" applyFont="1" applyBorder="1" applyAlignment="1">
      <alignment vertical="top" wrapText="1"/>
    </xf>
    <xf numFmtId="3" fontId="0" fillId="0" borderId="0" xfId="0" applyNumberFormat="1" applyBorder="1" applyAlignment="1"/>
    <xf numFmtId="0" fontId="0" fillId="0" borderId="0" xfId="0" applyFill="1" applyAlignment="1">
      <alignment horizontal="justify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5" xfId="0" applyBorder="1"/>
    <xf numFmtId="0" fontId="4" fillId="0" borderId="0" xfId="0" applyFont="1" applyBorder="1" applyAlignment="1">
      <alignment horizontal="right" vertical="top" wrapText="1"/>
    </xf>
    <xf numFmtId="4" fontId="4" fillId="0" borderId="0" xfId="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4" fontId="0" fillId="0" borderId="0" xfId="2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2" applyNumberFormat="1" applyFont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2" borderId="10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1" fillId="2" borderId="0" xfId="0" applyFont="1" applyFill="1" applyBorder="1"/>
    <xf numFmtId="0" fontId="0" fillId="2" borderId="9" xfId="0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1" fontId="1" fillId="0" borderId="0" xfId="0" applyNumberFormat="1" applyFont="1" applyFill="1" applyAlignment="1">
      <alignment vertical="justify" wrapText="1"/>
    </xf>
    <xf numFmtId="170" fontId="1" fillId="0" borderId="0" xfId="4" applyNumberFormat="1" applyFont="1" applyFill="1" applyAlignment="1">
      <alignment vertic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8" xfId="0" applyFill="1" applyBorder="1"/>
    <xf numFmtId="0" fontId="0" fillId="2" borderId="4" xfId="0" applyFill="1" applyBorder="1"/>
    <xf numFmtId="0" fontId="0" fillId="2" borderId="2" xfId="0" applyFill="1" applyBorder="1" applyAlignment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5" xfId="0" applyFill="1" applyBorder="1"/>
    <xf numFmtId="0" fontId="0" fillId="2" borderId="7" xfId="0" applyFill="1" applyBorder="1" applyAlignment="1">
      <alignment horizontal="left"/>
    </xf>
    <xf numFmtId="170" fontId="1" fillId="2" borderId="0" xfId="4" applyNumberFormat="1" applyFont="1" applyFill="1" applyBorder="1" applyAlignment="1">
      <alignment horizontal="center"/>
    </xf>
    <xf numFmtId="0" fontId="0" fillId="2" borderId="7" xfId="0" applyFill="1" applyBorder="1"/>
    <xf numFmtId="0" fontId="1" fillId="2" borderId="2" xfId="0" applyFont="1" applyFill="1" applyBorder="1"/>
    <xf numFmtId="0" fontId="1" fillId="0" borderId="2" xfId="0" applyFont="1" applyBorder="1"/>
    <xf numFmtId="167" fontId="0" fillId="0" borderId="0" xfId="0" applyNumberFormat="1" applyFill="1" applyBorder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0" fontId="1" fillId="0" borderId="6" xfId="4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64" fontId="0" fillId="0" borderId="0" xfId="0" applyNumberFormat="1"/>
    <xf numFmtId="0" fontId="7" fillId="2" borderId="11" xfId="0" applyFont="1" applyFill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0" fontId="1" fillId="0" borderId="0" xfId="4" applyNumberFormat="1" applyFont="1" applyFill="1" applyBorder="1" applyAlignment="1">
      <alignment horizontal="center"/>
    </xf>
    <xf numFmtId="10" fontId="1" fillId="0" borderId="2" xfId="4" applyNumberFormat="1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4" fontId="0" fillId="0" borderId="0" xfId="2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0" fillId="2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0" fillId="0" borderId="2" xfId="4" applyNumberFormat="1" applyFont="1" applyFill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1" fontId="1" fillId="0" borderId="0" xfId="0" applyNumberFormat="1" applyFont="1" applyFill="1" applyBorder="1" applyAlignment="1">
      <alignment vertical="justify" wrapText="1"/>
    </xf>
    <xf numFmtId="170" fontId="1" fillId="0" borderId="0" xfId="4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0" fontId="14" fillId="0" borderId="2" xfId="0" applyFont="1" applyBorder="1" applyAlignment="1">
      <alignment horizontal="right" vertical="top"/>
    </xf>
    <xf numFmtId="0" fontId="14" fillId="0" borderId="2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vertical="justify" wrapText="1"/>
    </xf>
    <xf numFmtId="170" fontId="1" fillId="0" borderId="2" xfId="4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/>
    <xf numFmtId="0" fontId="14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170" fontId="0" fillId="0" borderId="0" xfId="4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0" xfId="0" applyFont="1" applyBorder="1" applyAlignment="1">
      <alignment horizontal="right" vertical="top"/>
    </xf>
    <xf numFmtId="0" fontId="14" fillId="0" borderId="2" xfId="0" applyFont="1" applyBorder="1"/>
    <xf numFmtId="0" fontId="1" fillId="0" borderId="2" xfId="0" applyFont="1" applyBorder="1" applyAlignment="1">
      <alignment horizontal="justify" vertical="center" wrapText="1"/>
    </xf>
    <xf numFmtId="4" fontId="0" fillId="0" borderId="2" xfId="2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4" fontId="0" fillId="0" borderId="0" xfId="2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top"/>
    </xf>
    <xf numFmtId="3" fontId="0" fillId="0" borderId="2" xfId="0" applyNumberFormat="1" applyBorder="1" applyAlignme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" fontId="4" fillId="0" borderId="0" xfId="2" applyNumberFormat="1" applyFont="1" applyBorder="1" applyAlignment="1">
      <alignment vertical="center" wrapText="1"/>
    </xf>
    <xf numFmtId="4" fontId="4" fillId="0" borderId="13" xfId="2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 wrapText="1"/>
    </xf>
    <xf numFmtId="4" fontId="0" fillId="0" borderId="2" xfId="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0" fontId="0" fillId="0" borderId="0" xfId="0" applyNumberFormat="1"/>
    <xf numFmtId="0" fontId="0" fillId="3" borderId="2" xfId="0" applyFill="1" applyBorder="1"/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/>
    <xf numFmtId="0" fontId="0" fillId="4" borderId="5" xfId="0" applyFill="1" applyBorder="1"/>
    <xf numFmtId="0" fontId="0" fillId="4" borderId="7" xfId="0" applyFill="1" applyBorder="1" applyAlignment="1">
      <alignment horizontal="right"/>
    </xf>
    <xf numFmtId="0" fontId="0" fillId="4" borderId="7" xfId="0" applyFill="1" applyBorder="1" applyAlignment="1"/>
    <xf numFmtId="0" fontId="0" fillId="4" borderId="2" xfId="0" quotePrefix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/>
    <xf numFmtId="2" fontId="0" fillId="4" borderId="0" xfId="0" applyNumberFormat="1" applyFill="1" applyBorder="1"/>
    <xf numFmtId="0" fontId="0" fillId="4" borderId="13" xfId="0" applyFill="1" applyBorder="1"/>
    <xf numFmtId="0" fontId="1" fillId="4" borderId="7" xfId="0" applyFont="1" applyFill="1" applyBorder="1" applyAlignment="1"/>
    <xf numFmtId="0" fontId="0" fillId="4" borderId="9" xfId="0" applyFill="1" applyBorder="1" applyAlignment="1"/>
    <xf numFmtId="0" fontId="1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0" fillId="4" borderId="2" xfId="0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167" fontId="0" fillId="3" borderId="12" xfId="0" applyNumberFormat="1" applyFill="1" applyBorder="1" applyAlignment="1">
      <alignment horizontal="center"/>
    </xf>
    <xf numFmtId="169" fontId="0" fillId="3" borderId="12" xfId="0" applyNumberFormat="1" applyFill="1" applyBorder="1"/>
    <xf numFmtId="0" fontId="4" fillId="4" borderId="0" xfId="0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right" vertical="top"/>
    </xf>
    <xf numFmtId="0" fontId="1" fillId="4" borderId="0" xfId="0" applyFont="1" applyFill="1" applyBorder="1" applyAlignment="1"/>
    <xf numFmtId="2" fontId="0" fillId="3" borderId="12" xfId="0" applyNumberForma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0" fillId="2" borderId="6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5" fillId="0" borderId="0" xfId="0" applyFont="1" applyBorder="1"/>
    <xf numFmtId="0" fontId="13" fillId="0" borderId="0" xfId="0" applyFont="1" applyFill="1" applyBorder="1" applyAlignment="1"/>
    <xf numFmtId="0" fontId="0" fillId="0" borderId="5" xfId="0" applyFill="1" applyBorder="1" applyAlignment="1"/>
    <xf numFmtId="0" fontId="25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1" fillId="0" borderId="5" xfId="0" applyFont="1" applyFill="1" applyBorder="1" applyAlignment="1"/>
    <xf numFmtId="0" fontId="25" fillId="2" borderId="9" xfId="0" applyFont="1" applyFill="1" applyBorder="1" applyAlignment="1">
      <alignment horizontal="left"/>
    </xf>
    <xf numFmtId="0" fontId="0" fillId="6" borderId="0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0" borderId="5" xfId="0" applyFill="1" applyBorder="1"/>
    <xf numFmtId="0" fontId="0" fillId="4" borderId="8" xfId="0" applyFill="1" applyBorder="1" applyAlignment="1"/>
    <xf numFmtId="0" fontId="0" fillId="4" borderId="4" xfId="0" applyFill="1" applyBorder="1" applyAlignment="1"/>
    <xf numFmtId="0" fontId="0" fillId="4" borderId="6" xfId="0" applyFill="1" applyBorder="1" applyAlignment="1"/>
    <xf numFmtId="1" fontId="0" fillId="4" borderId="6" xfId="0" applyNumberFormat="1" applyFill="1" applyBorder="1" applyAlignment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17" fillId="4" borderId="0" xfId="0" applyFont="1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/>
    <xf numFmtId="0" fontId="1" fillId="0" borderId="0" xfId="0" applyFont="1" applyFill="1" applyBorder="1" applyAlignment="1"/>
    <xf numFmtId="0" fontId="25" fillId="2" borderId="0" xfId="0" applyFont="1" applyFill="1" applyBorder="1"/>
    <xf numFmtId="0" fontId="25" fillId="2" borderId="2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25" fillId="2" borderId="7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/>
    <xf numFmtId="0" fontId="25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10" fontId="20" fillId="0" borderId="0" xfId="4" applyNumberFormat="1" applyFont="1" applyFill="1" applyBorder="1" applyAlignment="1"/>
    <xf numFmtId="10" fontId="4" fillId="0" borderId="0" xfId="0" applyNumberFormat="1" applyFont="1" applyFill="1" applyBorder="1" applyAlignment="1"/>
    <xf numFmtId="0" fontId="1" fillId="6" borderId="0" xfId="0" applyFont="1" applyFill="1" applyBorder="1" applyAlignment="1">
      <alignment horizontal="right" vertical="top" wrapText="1"/>
    </xf>
    <xf numFmtId="0" fontId="1" fillId="6" borderId="0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/>
    <xf numFmtId="10" fontId="1" fillId="0" borderId="0" xfId="4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5" fillId="2" borderId="3" xfId="0" applyFont="1" applyFill="1" applyBorder="1" applyAlignment="1">
      <alignment horizontal="left"/>
    </xf>
    <xf numFmtId="0" fontId="25" fillId="0" borderId="2" xfId="0" applyFont="1" applyFill="1" applyBorder="1"/>
    <xf numFmtId="0" fontId="25" fillId="0" borderId="2" xfId="0" applyFont="1" applyBorder="1"/>
    <xf numFmtId="0" fontId="25" fillId="0" borderId="12" xfId="0" applyFont="1" applyBorder="1" applyAlignment="1">
      <alignment horizontal="center"/>
    </xf>
    <xf numFmtId="170" fontId="25" fillId="0" borderId="0" xfId="4" applyNumberFormat="1" applyFont="1" applyFill="1" applyBorder="1" applyAlignment="1">
      <alignment vertical="center" wrapText="1"/>
    </xf>
    <xf numFmtId="170" fontId="20" fillId="3" borderId="12" xfId="4" applyNumberFormat="1" applyFont="1" applyFill="1" applyBorder="1"/>
    <xf numFmtId="170" fontId="0" fillId="3" borderId="12" xfId="0" applyNumberFormat="1" applyFill="1" applyBorder="1"/>
    <xf numFmtId="3" fontId="25" fillId="4" borderId="2" xfId="0" applyNumberFormat="1" applyFont="1" applyFill="1" applyBorder="1"/>
    <xf numFmtId="3" fontId="0" fillId="4" borderId="7" xfId="0" applyNumberFormat="1" applyFill="1" applyBorder="1"/>
    <xf numFmtId="3" fontId="0" fillId="6" borderId="2" xfId="0" applyNumberFormat="1" applyFill="1" applyBorder="1"/>
    <xf numFmtId="3" fontId="7" fillId="3" borderId="12" xfId="0" applyNumberFormat="1" applyFont="1" applyFill="1" applyBorder="1"/>
    <xf numFmtId="170" fontId="20" fillId="4" borderId="12" xfId="1" applyNumberFormat="1" applyFont="1" applyFill="1" applyBorder="1" applyAlignment="1">
      <alignment horizontal="center" vertical="center"/>
    </xf>
    <xf numFmtId="170" fontId="1" fillId="3" borderId="12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/>
    <xf numFmtId="0" fontId="25" fillId="0" borderId="0" xfId="0" applyFont="1"/>
    <xf numFmtId="0" fontId="0" fillId="0" borderId="0" xfId="0" applyFill="1"/>
    <xf numFmtId="167" fontId="0" fillId="0" borderId="0" xfId="0" applyNumberFormat="1" applyFill="1" applyBorder="1" applyAlignment="1">
      <alignment horizontal="right"/>
    </xf>
    <xf numFmtId="10" fontId="1" fillId="0" borderId="0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center" wrapText="1"/>
    </xf>
    <xf numFmtId="170" fontId="25" fillId="7" borderId="0" xfId="4" applyNumberFormat="1" applyFont="1" applyFill="1" applyBorder="1" applyAlignment="1">
      <alignment vertical="center" wrapText="1"/>
    </xf>
    <xf numFmtId="1" fontId="25" fillId="4" borderId="0" xfId="0" applyNumberFormat="1" applyFont="1" applyFill="1" applyBorder="1" applyAlignment="1">
      <alignment vertical="justify" wrapText="1"/>
    </xf>
    <xf numFmtId="0" fontId="28" fillId="3" borderId="1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8" fontId="0" fillId="4" borderId="7" xfId="0" applyNumberFormat="1" applyFill="1" applyBorder="1" applyAlignment="1">
      <alignment horizontal="right"/>
    </xf>
    <xf numFmtId="3" fontId="0" fillId="6" borderId="7" xfId="0" applyNumberForma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4" borderId="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25" fillId="6" borderId="2" xfId="0" applyFont="1" applyFill="1" applyBorder="1" applyAlignment="1">
      <alignment horizontal="left"/>
    </xf>
    <xf numFmtId="170" fontId="1" fillId="4" borderId="7" xfId="4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74" fontId="13" fillId="4" borderId="2" xfId="0" applyNumberFormat="1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center"/>
    </xf>
    <xf numFmtId="0" fontId="0" fillId="6" borderId="7" xfId="0" applyFill="1" applyBorder="1" applyAlignment="1">
      <alignment horizontal="right"/>
    </xf>
    <xf numFmtId="0" fontId="0" fillId="4" borderId="12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67" fontId="0" fillId="3" borderId="1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21" fillId="5" borderId="13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7" fontId="1" fillId="3" borderId="12" xfId="0" applyNumberFormat="1" applyFont="1" applyFill="1" applyBorder="1" applyAlignment="1">
      <alignment horizontal="center"/>
    </xf>
    <xf numFmtId="168" fontId="7" fillId="3" borderId="12" xfId="0" applyNumberFormat="1" applyFont="1" applyFill="1" applyBorder="1" applyAlignment="1">
      <alignment horizontal="center"/>
    </xf>
    <xf numFmtId="3" fontId="19" fillId="3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7" fontId="1" fillId="4" borderId="13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70" fontId="1" fillId="3" borderId="0" xfId="4" applyNumberFormat="1" applyFont="1" applyFill="1" applyBorder="1" applyAlignment="1">
      <alignment horizontal="center"/>
    </xf>
    <xf numFmtId="170" fontId="1" fillId="3" borderId="5" xfId="4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0" fontId="1" fillId="0" borderId="0" xfId="4" applyNumberFormat="1" applyFont="1" applyFill="1" applyBorder="1" applyAlignment="1">
      <alignment horizontal="center"/>
    </xf>
    <xf numFmtId="10" fontId="1" fillId="0" borderId="5" xfId="4" applyNumberFormat="1" applyFont="1" applyFill="1" applyBorder="1" applyAlignment="1">
      <alignment horizontal="center"/>
    </xf>
    <xf numFmtId="170" fontId="1" fillId="3" borderId="0" xfId="4" applyNumberFormat="1" applyFont="1" applyFill="1" applyBorder="1" applyAlignment="1">
      <alignment horizontal="center" vertical="center"/>
    </xf>
    <xf numFmtId="170" fontId="1" fillId="3" borderId="5" xfId="4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0" fontId="20" fillId="4" borderId="12" xfId="4" applyNumberFormat="1" applyFont="1" applyFill="1" applyBorder="1" applyAlignment="1">
      <alignment horizontal="center"/>
    </xf>
    <xf numFmtId="170" fontId="1" fillId="3" borderId="12" xfId="4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70" fontId="0" fillId="3" borderId="12" xfId="0" applyNumberFormat="1" applyFill="1" applyBorder="1" applyAlignment="1">
      <alignment horizontal="center"/>
    </xf>
    <xf numFmtId="10" fontId="1" fillId="3" borderId="0" xfId="4" applyNumberFormat="1" applyFont="1" applyFill="1" applyBorder="1" applyAlignment="1">
      <alignment horizontal="center"/>
    </xf>
    <xf numFmtId="10" fontId="1" fillId="3" borderId="5" xfId="4" applyNumberFormat="1" applyFont="1" applyFill="1" applyBorder="1" applyAlignment="1">
      <alignment horizontal="center"/>
    </xf>
    <xf numFmtId="170" fontId="1" fillId="3" borderId="2" xfId="4" applyNumberFormat="1" applyFont="1" applyFill="1" applyBorder="1" applyAlignment="1">
      <alignment horizontal="center" vertical="center"/>
    </xf>
    <xf numFmtId="170" fontId="1" fillId="3" borderId="2" xfId="4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0" fontId="1" fillId="0" borderId="2" xfId="4" applyNumberFormat="1" applyFont="1" applyFill="1" applyBorder="1" applyAlignment="1">
      <alignment horizontal="center"/>
    </xf>
    <xf numFmtId="10" fontId="1" fillId="0" borderId="3" xfId="4" applyNumberFormat="1" applyFont="1" applyFill="1" applyBorder="1" applyAlignment="1">
      <alignment horizontal="center"/>
    </xf>
    <xf numFmtId="170" fontId="1" fillId="3" borderId="3" xfId="4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169" fontId="0" fillId="3" borderId="2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178" fontId="0" fillId="3" borderId="2" xfId="0" applyNumberFormat="1" applyFill="1" applyBorder="1" applyAlignment="1">
      <alignment horizontal="right"/>
    </xf>
    <xf numFmtId="167" fontId="0" fillId="3" borderId="7" xfId="0" applyNumberFormat="1" applyFill="1" applyBorder="1" applyAlignment="1">
      <alignment horizontal="right"/>
    </xf>
    <xf numFmtId="170" fontId="20" fillId="3" borderId="7" xfId="4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/>
    </xf>
    <xf numFmtId="170" fontId="20" fillId="3" borderId="2" xfId="4" applyNumberFormat="1" applyFont="1" applyFill="1" applyBorder="1" applyAlignment="1">
      <alignment horizontal="right"/>
    </xf>
    <xf numFmtId="2" fontId="0" fillId="3" borderId="2" xfId="0" applyNumberFormat="1" applyFill="1" applyBorder="1" applyAlignment="1">
      <alignment horizontal="right" vertical="center"/>
    </xf>
    <xf numFmtId="10" fontId="20" fillId="3" borderId="2" xfId="4" applyNumberFormat="1" applyFont="1" applyFill="1" applyBorder="1" applyAlignment="1">
      <alignment horizontal="right"/>
    </xf>
    <xf numFmtId="10" fontId="4" fillId="3" borderId="0" xfId="0" applyNumberFormat="1" applyFon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4" fontId="0" fillId="3" borderId="7" xfId="0" applyNumberFormat="1" applyFill="1" applyBorder="1" applyAlignment="1">
      <alignment horizontal="right"/>
    </xf>
    <xf numFmtId="10" fontId="20" fillId="3" borderId="2" xfId="4" applyNumberFormat="1" applyFont="1" applyFill="1" applyBorder="1" applyAlignment="1">
      <alignment horizontal="center"/>
    </xf>
    <xf numFmtId="10" fontId="1" fillId="3" borderId="2" xfId="4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4" fillId="3" borderId="7" xfId="2" applyNumberFormat="1" applyFont="1" applyFill="1" applyBorder="1" applyAlignment="1">
      <alignment horizontal="right" vertical="center" wrapText="1"/>
    </xf>
    <xf numFmtId="3" fontId="4" fillId="3" borderId="9" xfId="2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justify" wrapText="1"/>
    </xf>
    <xf numFmtId="173" fontId="0" fillId="3" borderId="1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72" fontId="0" fillId="3" borderId="12" xfId="0" applyNumberFormat="1" applyFill="1" applyBorder="1" applyAlignment="1">
      <alignment horizontal="center"/>
    </xf>
    <xf numFmtId="169" fontId="0" fillId="3" borderId="12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/>
    <xf numFmtId="3" fontId="20" fillId="4" borderId="12" xfId="2" applyNumberFormat="1" applyFont="1" applyFill="1" applyBorder="1" applyAlignment="1">
      <alignment horizontal="right" vertical="center" wrapText="1"/>
    </xf>
    <xf numFmtId="3" fontId="20" fillId="3" borderId="12" xfId="2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175" fontId="0" fillId="3" borderId="12" xfId="0" applyNumberFormat="1" applyFill="1" applyBorder="1" applyAlignment="1">
      <alignment horizontal="center"/>
    </xf>
    <xf numFmtId="0" fontId="25" fillId="4" borderId="12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9" fontId="0" fillId="4" borderId="12" xfId="0" applyNumberForma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 wrapText="1"/>
    </xf>
    <xf numFmtId="4" fontId="4" fillId="0" borderId="11" xfId="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3" fontId="0" fillId="3" borderId="12" xfId="0" applyNumberForma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25" fillId="2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25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justify" wrapText="1"/>
    </xf>
    <xf numFmtId="0" fontId="1" fillId="6" borderId="0" xfId="0" applyFont="1" applyFill="1" applyBorder="1" applyAlignment="1">
      <alignment horizontal="justify" vertical="top" wrapText="1"/>
    </xf>
    <xf numFmtId="0" fontId="1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3" fontId="0" fillId="3" borderId="13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5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" fontId="20" fillId="3" borderId="0" xfId="2" applyNumberFormat="1" applyFont="1" applyFill="1" applyBorder="1" applyAlignment="1">
      <alignment horizontal="right" vertical="center" wrapText="1"/>
    </xf>
    <xf numFmtId="0" fontId="25" fillId="6" borderId="0" xfId="0" applyFont="1" applyFill="1" applyBorder="1" applyAlignment="1">
      <alignment horizontal="justify" vertical="top" wrapText="1"/>
    </xf>
    <xf numFmtId="0" fontId="1" fillId="6" borderId="0" xfId="0" applyFont="1" applyFill="1" applyBorder="1" applyAlignment="1">
      <alignment horizontal="justify" vertical="center" wrapText="1"/>
    </xf>
    <xf numFmtId="176" fontId="19" fillId="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1" fillId="5" borderId="10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1" fillId="0" borderId="12" xfId="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/>
    </xf>
    <xf numFmtId="168" fontId="1" fillId="3" borderId="12" xfId="0" applyNumberFormat="1" applyFont="1" applyFill="1" applyBorder="1" applyAlignment="1">
      <alignment horizontal="center"/>
    </xf>
    <xf numFmtId="170" fontId="1" fillId="4" borderId="12" xfId="4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9" fontId="20" fillId="3" borderId="13" xfId="4" applyFont="1" applyFill="1" applyBorder="1" applyAlignment="1">
      <alignment horizontal="center"/>
    </xf>
    <xf numFmtId="9" fontId="20" fillId="3" borderId="7" xfId="4" applyFont="1" applyFill="1" applyBorder="1" applyAlignment="1">
      <alignment horizontal="center"/>
    </xf>
    <xf numFmtId="9" fontId="20" fillId="3" borderId="9" xfId="4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176" fontId="0" fillId="3" borderId="13" xfId="0" applyNumberFormat="1" applyFill="1" applyBorder="1" applyAlignment="1">
      <alignment horizontal="center"/>
    </xf>
    <xf numFmtId="176" fontId="0" fillId="3" borderId="7" xfId="0" applyNumberFormat="1" applyFill="1" applyBorder="1" applyAlignment="1">
      <alignment horizontal="center"/>
    </xf>
    <xf numFmtId="176" fontId="0" fillId="3" borderId="9" xfId="0" applyNumberForma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" fontId="20" fillId="4" borderId="12" xfId="2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top" wrapText="1"/>
    </xf>
    <xf numFmtId="177" fontId="0" fillId="3" borderId="12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176" fontId="4" fillId="3" borderId="13" xfId="2" applyNumberFormat="1" applyFont="1" applyFill="1" applyBorder="1" applyAlignment="1">
      <alignment vertical="center" wrapText="1"/>
    </xf>
    <xf numFmtId="176" fontId="4" fillId="3" borderId="9" xfId="2" applyNumberFormat="1" applyFont="1" applyFill="1" applyBorder="1" applyAlignment="1">
      <alignment vertical="center" wrapText="1"/>
    </xf>
    <xf numFmtId="3" fontId="4" fillId="3" borderId="12" xfId="2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25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Euro" xfId="3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ACTUAL ENERGY BALANCE</a:t>
            </a:r>
          </a:p>
        </c:rich>
      </c:tx>
      <c:spPr>
        <a:noFill/>
        <a:ln w="25400">
          <a:noFill/>
        </a:ln>
      </c:spPr>
    </c:title>
    <c:view3D>
      <c:rotX val="30"/>
      <c:rotY val="20"/>
      <c:perspective val="0"/>
    </c:view3D>
    <c:plotArea>
      <c:layout>
        <c:manualLayout>
          <c:layoutTarget val="inner"/>
          <c:xMode val="edge"/>
          <c:yMode val="edge"/>
          <c:x val="0.23460410557184758"/>
          <c:y val="0.31281972951790504"/>
          <c:w val="0.50146627565982382"/>
          <c:h val="0.54871657472812818"/>
        </c:manualLayout>
      </c:layout>
      <c:pie3DChart>
        <c:varyColors val="1"/>
        <c:ser>
          <c:idx val="0"/>
          <c:order val="0"/>
          <c:tx>
            <c:strRef>
              <c:f>Example!$A$188:$U$188</c:f>
              <c:strCache>
                <c:ptCount val="1"/>
                <c:pt idx="0">
                  <c:v>3.4  ACTUAL ENERGY BALANCE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7036407702509823E-2"/>
                  <c:y val="-1.577095966452469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8963435873075584E-2"/>
                  <c:y val="7.6258283806478434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3.4353320180008945E-2"/>
                  <c:y val="4.456732984712893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3782837127846148E-2"/>
                  <c:y val="0.1203736889210687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854757462495867E-2"/>
                  <c:y val="-9.693989400750191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9105552910307002E-2"/>
                  <c:y val="-0.1033975925423115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4.5261338068895866E-2"/>
                  <c:y val="-8.0787602699087968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Example!$B$196:$B$202</c:f>
              <c:strCache>
                <c:ptCount val="7"/>
                <c:pt idx="0">
                  <c:v>Electrical losses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&amp; discharge pipe losses</c:v>
                </c:pt>
                <c:pt idx="4">
                  <c:v>Network head losses </c:v>
                </c:pt>
                <c:pt idx="5">
                  <c:v>Leakage losses</c:v>
                </c:pt>
                <c:pt idx="6">
                  <c:v>Useful work</c:v>
                </c:pt>
              </c:strCache>
            </c:strRef>
          </c:cat>
          <c:val>
            <c:numRef>
              <c:f>Example!$G$196:$G$202</c:f>
              <c:numCache>
                <c:formatCode>#,##0</c:formatCode>
                <c:ptCount val="7"/>
                <c:pt idx="0">
                  <c:v>1537.8742221063203</c:v>
                </c:pt>
                <c:pt idx="1">
                  <c:v>15920.412056278212</c:v>
                </c:pt>
                <c:pt idx="2">
                  <c:v>37241.84901800329</c:v>
                </c:pt>
                <c:pt idx="3">
                  <c:v>52.452066410166417</c:v>
                </c:pt>
                <c:pt idx="4">
                  <c:v>4652.8425412101678</c:v>
                </c:pt>
                <c:pt idx="5">
                  <c:v>5698.2052246359299</c:v>
                </c:pt>
                <c:pt idx="6">
                  <c:v>8547.3078369538925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655" l="0.70000000000000062" r="0.70000000000000062" t="0.750000000000006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EXPECTED ENERGY BALANCE</a:t>
            </a:r>
          </a:p>
        </c:rich>
      </c:tx>
      <c:layout>
        <c:manualLayout>
          <c:xMode val="edge"/>
          <c:yMode val="edge"/>
          <c:x val="0.14716461213556531"/>
          <c:y val="3.151240336203111E-3"/>
        </c:manualLayout>
      </c:layout>
      <c:spPr>
        <a:noFill/>
        <a:ln w="25400">
          <a:noFill/>
        </a:ln>
      </c:spPr>
    </c:title>
    <c:view3D>
      <c:rotX val="30"/>
      <c:rotY val="210"/>
      <c:perspective val="0"/>
    </c:view3D>
    <c:plotArea>
      <c:layout>
        <c:manualLayout>
          <c:layoutTarget val="inner"/>
          <c:xMode val="edge"/>
          <c:yMode val="edge"/>
          <c:x val="0.32238770727789728"/>
          <c:y val="0.24352347008801084"/>
          <c:w val="0.47164127546210849"/>
          <c:h val="0.51295369231304433"/>
        </c:manualLayout>
      </c:layout>
      <c:pie3DChart>
        <c:varyColors val="1"/>
        <c:ser>
          <c:idx val="0"/>
          <c:order val="0"/>
          <c:tx>
            <c:strRef>
              <c:f>Example!$A$260:$I$260</c:f>
              <c:strCache>
                <c:ptCount val="1"/>
                <c:pt idx="0">
                  <c:v>5.3  EXPECTED ENERGY BALANCE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explosion val="53"/>
          <c:dPt>
            <c:idx val="0"/>
            <c:explosion val="42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explosion val="43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explosion val="33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25400">
                <a:noFill/>
              </a:ln>
            </c:spPr>
          </c:dPt>
          <c:dPt>
            <c:idx val="5"/>
            <c:explosion val="42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dPt>
            <c:idx val="7"/>
            <c:explosion val="19"/>
            <c:spPr>
              <a:solidFill>
                <a:srgbClr val="FFFFFF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5470411601265983E-2"/>
                  <c:y val="5.693479681980242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7312442180850138E-2"/>
                  <c:y val="9.955682964880650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3.4066503408466856E-2"/>
                  <c:y val="0.17576998505105068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1.3028888908779875E-2"/>
                  <c:y val="7.694715374921949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9.121330082489533E-2"/>
                  <c:y val="-0.13484662246646298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9462867866550316E-2"/>
                  <c:y val="-3.638528840714622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8.224074775133848E-2"/>
                  <c:y val="-3.0205601047241609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2.4654585700287627E-3"/>
                  <c:y val="4.6883380255974293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Savings</a:t>
                    </a:r>
                  </a:p>
                  <a:p>
                    <a:r>
                      <a:rPr lang="en-US" sz="14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52.5%</a:t>
                    </a:r>
                  </a:p>
                </c:rich>
              </c:tx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Example!$B$266:$B$273</c:f>
              <c:strCache>
                <c:ptCount val="8"/>
                <c:pt idx="0">
                  <c:v>Electrical losses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pipe losses</c:v>
                </c:pt>
                <c:pt idx="4">
                  <c:v>Network head losses </c:v>
                </c:pt>
                <c:pt idx="5">
                  <c:v>Leakage losses</c:v>
                </c:pt>
                <c:pt idx="6">
                  <c:v>Useful work</c:v>
                </c:pt>
                <c:pt idx="7">
                  <c:v>Savings</c:v>
                </c:pt>
              </c:strCache>
            </c:strRef>
          </c:cat>
          <c:val>
            <c:numRef>
              <c:f>Example!$G$266:$G$273</c:f>
              <c:numCache>
                <c:formatCode>#,##0</c:formatCode>
                <c:ptCount val="8"/>
                <c:pt idx="0">
                  <c:v>343.65911670949203</c:v>
                </c:pt>
                <c:pt idx="1">
                  <c:v>8947.3757797947619</c:v>
                </c:pt>
                <c:pt idx="2">
                  <c:v>6832.604125633593</c:v>
                </c:pt>
                <c:pt idx="3">
                  <c:v>52.452066410166417</c:v>
                </c:pt>
                <c:pt idx="4">
                  <c:v>4652.8425412101678</c:v>
                </c:pt>
                <c:pt idx="5">
                  <c:v>5698.2052246359299</c:v>
                </c:pt>
                <c:pt idx="6">
                  <c:v>8547.3078369538925</c:v>
                </c:pt>
                <c:pt idx="7">
                  <c:v>38576.496274249977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cat>
            <c:strRef>
              <c:f>'[1]ANALYSIS #3'!$B$127:$B$134</c:f>
              <c:strCache>
                <c:ptCount val="8"/>
                <c:pt idx="0">
                  <c:v>Electrical Loses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pipe losses</c:v>
                </c:pt>
                <c:pt idx="4">
                  <c:v>Network head losses </c:v>
                </c:pt>
                <c:pt idx="5">
                  <c:v>Leakages Losses</c:v>
                </c:pt>
                <c:pt idx="6">
                  <c:v>Useful Work</c:v>
                </c:pt>
                <c:pt idx="7">
                  <c:v>Savings</c:v>
                </c:pt>
              </c:strCache>
            </c:strRef>
          </c:cat>
          <c:val>
            <c:numRef>
              <c:f>[2]ANALYSIS!$H$70:$H$76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cat>
            <c:strRef>
              <c:f>'[1]ANALYSIS #3'!$B$127:$B$134</c:f>
              <c:strCache>
                <c:ptCount val="8"/>
                <c:pt idx="0">
                  <c:v>Electrical Loses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pipe losses</c:v>
                </c:pt>
                <c:pt idx="4">
                  <c:v>Network head losses </c:v>
                </c:pt>
                <c:pt idx="5">
                  <c:v>Leakages Losses</c:v>
                </c:pt>
                <c:pt idx="6">
                  <c:v>Useful Work</c:v>
                </c:pt>
                <c:pt idx="7">
                  <c:v>Savings</c:v>
                </c:pt>
              </c:strCache>
            </c:strRef>
          </c:cat>
          <c:val>
            <c:numRef>
              <c:f>[2]ANALYSIS!$I$70:$I$76</c:f>
              <c:numCache>
                <c:formatCode>General</c:formatCode>
                <c:ptCount val="7"/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188</xdr:row>
      <xdr:rowOff>76200</xdr:rowOff>
    </xdr:from>
    <xdr:to>
      <xdr:col>19</xdr:col>
      <xdr:colOff>390525</xdr:colOff>
      <xdr:row>202</xdr:row>
      <xdr:rowOff>0</xdr:rowOff>
    </xdr:to>
    <xdr:graphicFrame macro="">
      <xdr:nvGraphicFramePr>
        <xdr:cNvPr id="2024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260</xdr:row>
      <xdr:rowOff>28575</xdr:rowOff>
    </xdr:from>
    <xdr:to>
      <xdr:col>19</xdr:col>
      <xdr:colOff>381000</xdr:colOff>
      <xdr:row>272</xdr:row>
      <xdr:rowOff>190500</xdr:rowOff>
    </xdr:to>
    <xdr:graphicFrame macro="">
      <xdr:nvGraphicFramePr>
        <xdr:cNvPr id="2025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23</xdr:row>
      <xdr:rowOff>114300</xdr:rowOff>
    </xdr:from>
    <xdr:to>
      <xdr:col>19</xdr:col>
      <xdr:colOff>200025</xdr:colOff>
      <xdr:row>42</xdr:row>
      <xdr:rowOff>152400</xdr:rowOff>
    </xdr:to>
    <xdr:grpSp>
      <xdr:nvGrpSpPr>
        <xdr:cNvPr id="2026" name="23 Grupo"/>
        <xdr:cNvGrpSpPr>
          <a:grpSpLocks/>
        </xdr:cNvGrpSpPr>
      </xdr:nvGrpSpPr>
      <xdr:grpSpPr bwMode="auto">
        <a:xfrm>
          <a:off x="3295650" y="3924300"/>
          <a:ext cx="4019550" cy="3143250"/>
          <a:chOff x="3673704" y="2300606"/>
          <a:chExt cx="4792309" cy="3433444"/>
        </a:xfrm>
      </xdr:grpSpPr>
      <xdr:sp macro="" textlink="">
        <xdr:nvSpPr>
          <xdr:cNvPr id="25" name="TextBox 54"/>
          <xdr:cNvSpPr txBox="1"/>
        </xdr:nvSpPr>
        <xdr:spPr>
          <a:xfrm>
            <a:off x="6238111" y="3164169"/>
            <a:ext cx="2227902" cy="717902"/>
          </a:xfrm>
          <a:prstGeom prst="rect">
            <a:avLst/>
          </a:prstGeom>
          <a:grp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Moeller  electric  </a:t>
            </a:r>
          </a:p>
          <a:p>
            <a:pPr algn="l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Motor -protective circuit-breaker  (PKZ)  40 A</a:t>
            </a:r>
          </a:p>
        </xdr:txBody>
      </xdr:sp>
      <xdr:sp macro="" textlink="">
        <xdr:nvSpPr>
          <xdr:cNvPr id="26" name="TextBox 55"/>
          <xdr:cNvSpPr txBox="1"/>
        </xdr:nvSpPr>
        <xdr:spPr>
          <a:xfrm>
            <a:off x="6272922" y="4152585"/>
            <a:ext cx="1554890" cy="509814"/>
          </a:xfrm>
          <a:prstGeom prst="rect">
            <a:avLst/>
          </a:prstGeom>
          <a:grp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Moeller  electric  40</a:t>
            </a:r>
            <a:r>
              <a:rPr lang="en-US" sz="1100" baseline="0"/>
              <a:t> </a:t>
            </a:r>
            <a:r>
              <a:rPr lang="en-US" sz="1100"/>
              <a:t>HP</a:t>
            </a:r>
          </a:p>
        </xdr:txBody>
      </xdr:sp>
      <xdr:sp macro="" textlink="">
        <xdr:nvSpPr>
          <xdr:cNvPr id="27" name="TextBox 97"/>
          <xdr:cNvSpPr txBox="1">
            <a:spLocks noChangeArrowheads="1"/>
          </xdr:cNvSpPr>
        </xdr:nvSpPr>
        <xdr:spPr bwMode="auto">
          <a:xfrm>
            <a:off x="6261319" y="5109787"/>
            <a:ext cx="1311213" cy="353749"/>
          </a:xfrm>
          <a:prstGeom prst="rect">
            <a:avLst/>
          </a:prstGeom>
          <a:grpFill/>
          <a:ln w="9525">
            <a:solidFill>
              <a:srgbClr val="BCBCBC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libri"/>
              </a:rPr>
              <a:t>LLPP14</a:t>
            </a:r>
          </a:p>
        </xdr:txBody>
      </xdr:sp>
      <xdr:sp macro="" textlink="">
        <xdr:nvSpPr>
          <xdr:cNvPr id="28" name="TextBox 94"/>
          <xdr:cNvSpPr txBox="1">
            <a:spLocks noChangeArrowheads="1"/>
          </xdr:cNvSpPr>
        </xdr:nvSpPr>
        <xdr:spPr bwMode="auto">
          <a:xfrm>
            <a:off x="3998606" y="2300606"/>
            <a:ext cx="1450457" cy="489006"/>
          </a:xfrm>
          <a:prstGeom prst="rect">
            <a:avLst/>
          </a:prstGeom>
          <a:grpFill/>
          <a:ln w="9525">
            <a:solidFill>
              <a:srgbClr val="BCBCBC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libri"/>
              </a:rPr>
              <a:t>Service Entrance </a:t>
            </a:r>
          </a:p>
        </xdr:txBody>
      </xdr:sp>
      <xdr:pic>
        <xdr:nvPicPr>
          <xdr:cNvPr id="203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00525" y="2800350"/>
            <a:ext cx="1733550" cy="2933700"/>
          </a:xfrm>
          <a:prstGeom prst="rect">
            <a:avLst/>
          </a:prstGeom>
          <a:solidFill>
            <a:srgbClr val="FFFF99"/>
          </a:solidFill>
          <a:ln w="1">
            <a:noFill/>
            <a:miter lim="800000"/>
            <a:headEnd/>
            <a:tailEnd/>
          </a:ln>
        </xdr:spPr>
      </xdr:pic>
      <xdr:sp macro="" textlink="">
        <xdr:nvSpPr>
          <xdr:cNvPr id="30" name="TextBox 59"/>
          <xdr:cNvSpPr txBox="1"/>
        </xdr:nvSpPr>
        <xdr:spPr>
          <a:xfrm>
            <a:off x="3673704" y="4173394"/>
            <a:ext cx="1485268" cy="499410"/>
          </a:xfrm>
          <a:prstGeom prst="rect">
            <a:avLst/>
          </a:prstGeom>
          <a:grp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Stator</a:t>
            </a:r>
            <a:r>
              <a:rPr lang="en-US" sz="1100" baseline="0"/>
              <a:t> resistance starter</a:t>
            </a:r>
            <a:endParaRPr lang="en-US" sz="1100"/>
          </a:p>
        </xdr:txBody>
      </xdr:sp>
    </xdr:grpSp>
    <xdr:clientData/>
  </xdr:twoCellAnchor>
  <xdr:twoCellAnchor>
    <xdr:from>
      <xdr:col>4</xdr:col>
      <xdr:colOff>466725</xdr:colOff>
      <xdr:row>92</xdr:row>
      <xdr:rowOff>66675</xdr:rowOff>
    </xdr:from>
    <xdr:to>
      <xdr:col>12</xdr:col>
      <xdr:colOff>219075</xdr:colOff>
      <xdr:row>109</xdr:row>
      <xdr:rowOff>85725</xdr:rowOff>
    </xdr:to>
    <xdr:pic>
      <xdr:nvPicPr>
        <xdr:cNvPr id="2027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62125" y="14439900"/>
          <a:ext cx="3057525" cy="2771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191704</xdr:colOff>
      <xdr:row>99</xdr:row>
      <xdr:rowOff>69679</xdr:rowOff>
    </xdr:from>
    <xdr:to>
      <xdr:col>7</xdr:col>
      <xdr:colOff>295269</xdr:colOff>
      <xdr:row>100</xdr:row>
      <xdr:rowOff>155822</xdr:rowOff>
    </xdr:to>
    <xdr:sp macro="" textlink="">
      <xdr:nvSpPr>
        <xdr:cNvPr id="33" name="TextBox 55"/>
        <xdr:cNvSpPr txBox="1">
          <a:spLocks noChangeArrowheads="1"/>
        </xdr:cNvSpPr>
      </xdr:nvSpPr>
      <xdr:spPr bwMode="auto">
        <a:xfrm>
          <a:off x="2255454" y="14217479"/>
          <a:ext cx="1154496" cy="216501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Dynamic  level</a:t>
          </a:r>
        </a:p>
      </xdr:txBody>
    </xdr:sp>
    <xdr:clientData/>
  </xdr:twoCellAnchor>
  <xdr:twoCellAnchor>
    <xdr:from>
      <xdr:col>7</xdr:col>
      <xdr:colOff>142875</xdr:colOff>
      <xdr:row>100</xdr:row>
      <xdr:rowOff>38100</xdr:rowOff>
    </xdr:from>
    <xdr:to>
      <xdr:col>8</xdr:col>
      <xdr:colOff>57150</xdr:colOff>
      <xdr:row>100</xdr:row>
      <xdr:rowOff>38100</xdr:rowOff>
    </xdr:to>
    <xdr:sp macro="" textlink="">
      <xdr:nvSpPr>
        <xdr:cNvPr id="2029" name="Line 653"/>
        <xdr:cNvSpPr>
          <a:spLocks noChangeShapeType="1"/>
        </xdr:cNvSpPr>
      </xdr:nvSpPr>
      <xdr:spPr bwMode="auto">
        <a:xfrm flipV="1">
          <a:off x="2971800" y="157067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95907</xdr:colOff>
      <xdr:row>92</xdr:row>
      <xdr:rowOff>112585</xdr:rowOff>
    </xdr:from>
    <xdr:to>
      <xdr:col>7</xdr:col>
      <xdr:colOff>4594</xdr:colOff>
      <xdr:row>94</xdr:row>
      <xdr:rowOff>68302</xdr:rowOff>
    </xdr:to>
    <xdr:sp macro="" textlink="">
      <xdr:nvSpPr>
        <xdr:cNvPr id="35" name="TextBox 55"/>
        <xdr:cNvSpPr txBox="1">
          <a:spLocks noChangeArrowheads="1"/>
        </xdr:cNvSpPr>
      </xdr:nvSpPr>
      <xdr:spPr bwMode="auto">
        <a:xfrm>
          <a:off x="2153307" y="13120560"/>
          <a:ext cx="892394" cy="2762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Pressure gauge</a:t>
          </a:r>
        </a:p>
      </xdr:txBody>
    </xdr:sp>
    <xdr:clientData/>
  </xdr:twoCellAnchor>
  <xdr:twoCellAnchor>
    <xdr:from>
      <xdr:col>7</xdr:col>
      <xdr:colOff>19050</xdr:colOff>
      <xdr:row>93</xdr:row>
      <xdr:rowOff>95250</xdr:rowOff>
    </xdr:from>
    <xdr:to>
      <xdr:col>7</xdr:col>
      <xdr:colOff>228600</xdr:colOff>
      <xdr:row>93</xdr:row>
      <xdr:rowOff>133350</xdr:rowOff>
    </xdr:to>
    <xdr:sp macro="" textlink="">
      <xdr:nvSpPr>
        <xdr:cNvPr id="2031" name="Line 655" hidden="1"/>
        <xdr:cNvSpPr>
          <a:spLocks noChangeShapeType="1"/>
        </xdr:cNvSpPr>
      </xdr:nvSpPr>
      <xdr:spPr bwMode="auto">
        <a:xfrm flipH="1" flipV="1">
          <a:off x="2847975" y="14630400"/>
          <a:ext cx="2095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148431</xdr:colOff>
      <xdr:row>10</xdr:row>
      <xdr:rowOff>124618</xdr:rowOff>
    </xdr:from>
    <xdr:to>
      <xdr:col>28</xdr:col>
      <xdr:colOff>191298</xdr:colOff>
      <xdr:row>21</xdr:row>
      <xdr:rowOff>149267</xdr:rowOff>
    </xdr:to>
    <xdr:sp macro="" textlink="">
      <xdr:nvSpPr>
        <xdr:cNvPr id="18" name="17 CuadroTexto"/>
        <xdr:cNvSpPr txBox="1"/>
      </xdr:nvSpPr>
      <xdr:spPr>
        <a:xfrm>
          <a:off x="7608094" y="297656"/>
          <a:ext cx="4524375" cy="1821657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Note: This spreadsheet has been filled in with an Example Data which must be replaced by the specific information of the pumping system the  user</a:t>
          </a:r>
          <a:r>
            <a:rPr lang="en-US" sz="1200" b="1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wants to analyze.</a:t>
          </a: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 We recommend to</a:t>
          </a: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 save </a:t>
          </a: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the file under the name of the corresponding pumping system before you start to fill it in. YELLOW FIELDS NEED TO BE REPLACED OR FILLED IN; GREEN FIELDS WILL BE CALCULATED AUTOMATICALLY. </a:t>
          </a:r>
        </a:p>
      </xdr:txBody>
    </xdr:sp>
    <xdr:clientData/>
  </xdr:twoCellAnchor>
  <xdr:twoCellAnchor>
    <xdr:from>
      <xdr:col>13</xdr:col>
      <xdr:colOff>2</xdr:colOff>
      <xdr:row>0</xdr:row>
      <xdr:rowOff>0</xdr:rowOff>
    </xdr:from>
    <xdr:to>
      <xdr:col>18</xdr:col>
      <xdr:colOff>329569</xdr:colOff>
      <xdr:row>5</xdr:row>
      <xdr:rowOff>13335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00652" y="0"/>
          <a:ext cx="1844042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0</xdr:row>
      <xdr:rowOff>0</xdr:rowOff>
    </xdr:from>
    <xdr:to>
      <xdr:col>5</xdr:col>
      <xdr:colOff>248297</xdr:colOff>
      <xdr:row>5</xdr:row>
      <xdr:rowOff>13335</xdr:rowOff>
    </xdr:to>
    <xdr:pic>
      <xdr:nvPicPr>
        <xdr:cNvPr id="1048" name="Imagen 498" descr="AGUA_logo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2900" y="0"/>
          <a:ext cx="1886597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ng.%20Angel\Escritorio\ENERGY%20AUDIT%20FOR%20BLUE%20HILLS%20PUMPING%20SYST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ng.%20Angel\Escritorio\ENERGY%20AUDIT%20FOR%20ARAWAK%20CAY%20PUMPING%20SYST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 FORMAT P#2"/>
      <sheetName val="ANALYSIS #2"/>
      <sheetName val="FIELD FORMAT P#3"/>
      <sheetName val="ANALYSIS #3"/>
    </sheetNames>
    <sheetDataSet>
      <sheetData sheetId="0"/>
      <sheetData sheetId="1"/>
      <sheetData sheetId="2"/>
      <sheetData sheetId="3">
        <row r="127">
          <cell r="B127" t="str">
            <v>Electrical Loses</v>
          </cell>
        </row>
        <row r="128">
          <cell r="B128" t="str">
            <v>Motor Losses</v>
          </cell>
        </row>
        <row r="129">
          <cell r="B129" t="str">
            <v>Pump Losses</v>
          </cell>
        </row>
        <row r="130">
          <cell r="B130" t="str">
            <v>Suction pipe losses</v>
          </cell>
        </row>
        <row r="131">
          <cell r="B131" t="str">
            <v xml:space="preserve">Network head losses </v>
          </cell>
        </row>
        <row r="132">
          <cell r="B132" t="str">
            <v>Leakages Losses</v>
          </cell>
        </row>
        <row r="133">
          <cell r="B133" t="str">
            <v>Useful Work</v>
          </cell>
        </row>
        <row r="134">
          <cell r="B134" t="str">
            <v>Savings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ELD FORMAT"/>
      <sheetName val="ANALYSI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AB308"/>
  <sheetViews>
    <sheetView showGridLines="0" tabSelected="1" topLeftCell="A43" zoomScaleNormal="100" workbookViewId="0">
      <selection activeCell="D19" sqref="D19:K19"/>
    </sheetView>
  </sheetViews>
  <sheetFormatPr defaultColWidth="11.42578125" defaultRowHeight="12.75"/>
  <cols>
    <col min="1" max="1" width="1.28515625" customWidth="1"/>
    <col min="2" max="2" width="2.7109375" customWidth="1"/>
    <col min="3" max="3" width="8.5703125" customWidth="1"/>
    <col min="4" max="4" width="8.28515625" customWidth="1"/>
    <col min="5" max="6" width="8.85546875" customWidth="1"/>
    <col min="7" max="7" width="6" customWidth="1"/>
    <col min="8" max="8" width="4.42578125" customWidth="1"/>
    <col min="9" max="9" width="5.85546875" customWidth="1"/>
    <col min="10" max="10" width="5.42578125" customWidth="1"/>
    <col min="11" max="11" width="4.42578125" customWidth="1"/>
    <col min="12" max="12" width="7.140625" customWidth="1"/>
    <col min="13" max="13" width="6.140625" customWidth="1"/>
    <col min="14" max="14" width="3.42578125" customWidth="1"/>
    <col min="15" max="15" width="3" customWidth="1"/>
    <col min="16" max="16" width="3.42578125" customWidth="1"/>
    <col min="17" max="18" width="6.42578125" customWidth="1"/>
    <col min="19" max="19" width="6" customWidth="1"/>
    <col min="20" max="20" width="6.7109375" customWidth="1"/>
    <col min="21" max="21" width="1" customWidth="1"/>
    <col min="22" max="22" width="3.28515625" bestFit="1" customWidth="1"/>
    <col min="23" max="23" width="7.28515625" bestFit="1" customWidth="1"/>
    <col min="24" max="24" width="6.42578125" bestFit="1" customWidth="1"/>
    <col min="25" max="25" width="7" bestFit="1" customWidth="1"/>
    <col min="26" max="26" width="15.42578125" customWidth="1"/>
    <col min="27" max="27" width="10.5703125" customWidth="1"/>
    <col min="28" max="28" width="9" customWidth="1"/>
  </cols>
  <sheetData>
    <row r="6" spans="1:21" s="297" customFormat="1">
      <c r="A6" s="333" t="s">
        <v>384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</row>
    <row r="7" spans="1:2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</row>
    <row r="8" spans="1:21" s="297" customFormat="1" ht="26.25" customHeight="1">
      <c r="A8" s="334" t="s">
        <v>385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</row>
    <row r="10" spans="1:21">
      <c r="A10" s="569" t="s">
        <v>9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</row>
    <row r="11" spans="1:21" ht="6" customHeight="1"/>
    <row r="12" spans="1:21">
      <c r="A12" s="571" t="s">
        <v>10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</row>
    <row r="13" spans="1:21" ht="12.75" customHeight="1">
      <c r="A13" s="1"/>
      <c r="B13" s="1"/>
      <c r="C13" s="1"/>
      <c r="D13" s="1"/>
      <c r="E13" s="1"/>
      <c r="F13" s="370" t="s">
        <v>85</v>
      </c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</row>
    <row r="14" spans="1:21" ht="12.75" customHeight="1">
      <c r="A14" s="1"/>
      <c r="B14" s="1"/>
      <c r="C14" s="1"/>
      <c r="D14" s="1"/>
      <c r="E14" s="1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</row>
    <row r="15" spans="1:21" ht="14.25">
      <c r="A15" s="1"/>
      <c r="B15" s="1"/>
      <c r="C15" s="253" t="s">
        <v>299</v>
      </c>
      <c r="D15" s="379"/>
      <c r="E15" s="379"/>
      <c r="F15" s="379"/>
      <c r="G15" s="379"/>
      <c r="H15" s="254"/>
      <c r="I15" s="254"/>
      <c r="N15" s="6"/>
      <c r="O15" s="6" t="s">
        <v>183</v>
      </c>
      <c r="P15" s="6"/>
      <c r="Q15" s="378"/>
      <c r="R15" s="378"/>
      <c r="S15" s="378"/>
      <c r="T15" s="378"/>
      <c r="U15" s="1"/>
    </row>
    <row r="16" spans="1:21" ht="8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5"/>
      <c r="N16" s="25"/>
      <c r="O16" s="25"/>
      <c r="P16" s="6"/>
      <c r="Q16" s="6"/>
      <c r="R16" s="6"/>
      <c r="S16" s="6"/>
      <c r="T16" s="6"/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>
      <c r="A18" s="353" t="s">
        <v>300</v>
      </c>
      <c r="B18" s="354"/>
      <c r="C18" s="354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5"/>
    </row>
    <row r="19" spans="1:21" ht="14.25">
      <c r="A19" s="355" t="s">
        <v>86</v>
      </c>
      <c r="B19" s="356"/>
      <c r="C19" s="356"/>
      <c r="D19" s="371"/>
      <c r="E19" s="371"/>
      <c r="F19" s="371"/>
      <c r="G19" s="371"/>
      <c r="H19" s="371"/>
      <c r="I19" s="371"/>
      <c r="J19" s="371"/>
      <c r="K19" s="371"/>
      <c r="L19" s="358" t="s">
        <v>87</v>
      </c>
      <c r="M19" s="358"/>
      <c r="N19" s="358"/>
      <c r="O19" s="357"/>
      <c r="P19" s="357"/>
      <c r="Q19" s="357"/>
      <c r="R19" s="357"/>
      <c r="S19" s="357"/>
      <c r="T19" s="357"/>
      <c r="U19" s="7"/>
    </row>
    <row r="20" spans="1:2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</row>
    <row r="22" spans="1:21">
      <c r="A22" s="347" t="s">
        <v>191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3"/>
    </row>
    <row r="23" spans="1:21">
      <c r="A23" s="20"/>
      <c r="B23" s="28"/>
      <c r="C23" s="28"/>
      <c r="D23" s="28"/>
      <c r="E23" s="28"/>
      <c r="F23" s="28"/>
      <c r="G23" s="2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</row>
    <row r="24" spans="1:21">
      <c r="A24" s="8"/>
      <c r="B24" s="70" t="s">
        <v>207</v>
      </c>
      <c r="C24" s="18"/>
      <c r="D24" s="18"/>
      <c r="E24" s="18"/>
      <c r="F24" s="18"/>
      <c r="G24" s="74"/>
      <c r="H24" s="127"/>
      <c r="I24" s="248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6"/>
      <c r="U24" s="255"/>
    </row>
    <row r="25" spans="1:21">
      <c r="A25" s="8"/>
      <c r="B25" s="19"/>
      <c r="C25" s="71" t="s">
        <v>208</v>
      </c>
      <c r="D25" s="127"/>
      <c r="E25" s="336" t="s">
        <v>2</v>
      </c>
      <c r="F25" s="336"/>
      <c r="G25" s="359"/>
      <c r="H25" s="17"/>
      <c r="I25" s="267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143"/>
    </row>
    <row r="26" spans="1:21">
      <c r="A26" s="8"/>
      <c r="B26" s="89"/>
      <c r="C26" s="256" t="s">
        <v>301</v>
      </c>
      <c r="D26" s="90"/>
      <c r="E26" s="336" t="s">
        <v>3</v>
      </c>
      <c r="F26" s="336"/>
      <c r="G26" s="359"/>
      <c r="H26" s="29"/>
      <c r="I26" s="268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3"/>
      <c r="U26" s="143"/>
    </row>
    <row r="27" spans="1:21">
      <c r="A27" s="8"/>
      <c r="B27" s="89"/>
      <c r="C27" s="157" t="s">
        <v>209</v>
      </c>
      <c r="D27" s="90"/>
      <c r="E27" s="360">
        <v>3</v>
      </c>
      <c r="F27" s="360" t="s">
        <v>128</v>
      </c>
      <c r="G27" s="361"/>
      <c r="H27" s="17"/>
      <c r="I27" s="267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3"/>
      <c r="U27" s="143"/>
    </row>
    <row r="28" spans="1:21">
      <c r="A28" s="8"/>
      <c r="B28" s="92"/>
      <c r="C28" s="93"/>
      <c r="D28" s="142"/>
      <c r="E28" s="140"/>
      <c r="F28" s="140"/>
      <c r="G28" s="85"/>
      <c r="H28" s="127"/>
      <c r="I28" s="269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3"/>
      <c r="U28" s="143"/>
    </row>
    <row r="29" spans="1:21">
      <c r="A29" s="37"/>
      <c r="B29" s="79" t="s">
        <v>210</v>
      </c>
      <c r="C29" s="94"/>
      <c r="D29" s="94"/>
      <c r="E29" s="94"/>
      <c r="F29" s="94"/>
      <c r="G29" s="95"/>
      <c r="H29" s="1"/>
      <c r="I29" s="270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5"/>
      <c r="U29" s="264"/>
    </row>
    <row r="30" spans="1:21">
      <c r="A30" s="37"/>
      <c r="B30" s="83"/>
      <c r="C30" s="80" t="s">
        <v>211</v>
      </c>
      <c r="D30" s="80"/>
      <c r="E30" s="336" t="s">
        <v>346</v>
      </c>
      <c r="F30" s="336"/>
      <c r="G30" s="359"/>
      <c r="H30" s="17"/>
      <c r="I30" s="267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264"/>
    </row>
    <row r="31" spans="1:21">
      <c r="A31" s="37"/>
      <c r="B31" s="83"/>
      <c r="C31" s="80" t="s">
        <v>212</v>
      </c>
      <c r="D31" s="80"/>
      <c r="E31" s="336" t="s">
        <v>302</v>
      </c>
      <c r="F31" s="336">
        <v>25</v>
      </c>
      <c r="G31" s="359"/>
      <c r="H31" s="127"/>
      <c r="I31" s="270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5"/>
      <c r="U31" s="264"/>
    </row>
    <row r="32" spans="1:21">
      <c r="A32" s="37"/>
      <c r="B32" s="83"/>
      <c r="C32" s="80" t="s">
        <v>213</v>
      </c>
      <c r="D32" s="80"/>
      <c r="E32" s="362" t="s">
        <v>303</v>
      </c>
      <c r="F32" s="360"/>
      <c r="G32" s="361" t="s">
        <v>127</v>
      </c>
      <c r="H32" s="127"/>
      <c r="I32" s="270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264"/>
    </row>
    <row r="33" spans="1:21">
      <c r="A33" s="37"/>
      <c r="B33" s="98"/>
      <c r="C33" s="81"/>
      <c r="D33" s="81"/>
      <c r="E33" s="140"/>
      <c r="F33" s="140"/>
      <c r="G33" s="85"/>
      <c r="H33" s="127"/>
      <c r="I33" s="269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5"/>
      <c r="U33" s="264"/>
    </row>
    <row r="34" spans="1:21">
      <c r="A34" s="37"/>
      <c r="B34" s="79" t="s">
        <v>214</v>
      </c>
      <c r="C34" s="94"/>
      <c r="D34" s="94"/>
      <c r="E34" s="91"/>
      <c r="F34" s="91"/>
      <c r="G34" s="97"/>
      <c r="H34" s="127"/>
      <c r="I34" s="269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5"/>
      <c r="U34" s="264"/>
    </row>
    <row r="35" spans="1:21">
      <c r="A35" s="37"/>
      <c r="B35" s="83"/>
      <c r="C35" s="80" t="s">
        <v>215</v>
      </c>
      <c r="D35" s="80"/>
      <c r="E35" s="336" t="s">
        <v>217</v>
      </c>
      <c r="F35" s="336"/>
      <c r="G35" s="359"/>
      <c r="H35" s="127"/>
      <c r="I35" s="269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  <c r="U35" s="264"/>
    </row>
    <row r="36" spans="1:21">
      <c r="A36" s="37"/>
      <c r="B36" s="83"/>
      <c r="C36" s="80" t="s">
        <v>212</v>
      </c>
      <c r="D36" s="80"/>
      <c r="E36" s="336" t="s">
        <v>89</v>
      </c>
      <c r="F36" s="336"/>
      <c r="G36" s="359"/>
      <c r="H36" s="127"/>
      <c r="I36" s="269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5"/>
      <c r="U36" s="264"/>
    </row>
    <row r="37" spans="1:21">
      <c r="A37" s="37"/>
      <c r="B37" s="83"/>
      <c r="C37" s="80" t="s">
        <v>216</v>
      </c>
      <c r="D37" s="80"/>
      <c r="E37" s="336" t="s">
        <v>90</v>
      </c>
      <c r="F37" s="336"/>
      <c r="G37" s="359"/>
      <c r="H37" s="127"/>
      <c r="I37" s="269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5"/>
      <c r="U37" s="264"/>
    </row>
    <row r="38" spans="1:21" ht="15">
      <c r="A38" s="37"/>
      <c r="B38" s="83"/>
      <c r="C38" s="80"/>
      <c r="D38" s="80"/>
      <c r="E38" s="90"/>
      <c r="F38" s="90"/>
      <c r="G38" s="99"/>
      <c r="H38" s="127"/>
      <c r="I38" s="269"/>
      <c r="J38" s="214"/>
      <c r="K38" s="214"/>
      <c r="L38" s="214"/>
      <c r="M38" s="214"/>
      <c r="N38" s="214"/>
      <c r="O38" s="214"/>
      <c r="P38" s="214"/>
      <c r="Q38" s="214"/>
      <c r="R38" s="214"/>
      <c r="S38" s="271"/>
      <c r="T38" s="215"/>
      <c r="U38" s="264"/>
    </row>
    <row r="39" spans="1:21">
      <c r="A39" s="37"/>
      <c r="B39" s="79" t="s">
        <v>218</v>
      </c>
      <c r="C39" s="94"/>
      <c r="D39" s="94"/>
      <c r="E39" s="94"/>
      <c r="F39" s="94"/>
      <c r="G39" s="95"/>
      <c r="H39" s="1"/>
      <c r="I39" s="270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5"/>
      <c r="U39" s="264"/>
    </row>
    <row r="40" spans="1:21">
      <c r="A40" s="37"/>
      <c r="B40" s="83"/>
      <c r="C40" s="80" t="s">
        <v>211</v>
      </c>
      <c r="D40" s="80"/>
      <c r="E40" s="336" t="s">
        <v>185</v>
      </c>
      <c r="F40" s="336"/>
      <c r="G40" s="359"/>
      <c r="H40" s="17"/>
      <c r="I40" s="267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5"/>
      <c r="U40" s="264"/>
    </row>
    <row r="41" spans="1:21">
      <c r="A41" s="37"/>
      <c r="B41" s="83"/>
      <c r="C41" s="80" t="s">
        <v>212</v>
      </c>
      <c r="D41" s="80"/>
      <c r="E41" s="362" t="s">
        <v>304</v>
      </c>
      <c r="F41" s="360"/>
      <c r="G41" s="361" t="s">
        <v>126</v>
      </c>
      <c r="H41" s="127"/>
      <c r="I41" s="270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5"/>
      <c r="U41" s="264"/>
    </row>
    <row r="42" spans="1:21">
      <c r="A42" s="37"/>
      <c r="B42" s="98"/>
      <c r="C42" s="81"/>
      <c r="D42" s="81"/>
      <c r="E42" s="140"/>
      <c r="F42" s="140"/>
      <c r="G42" s="85"/>
      <c r="H42" s="127"/>
      <c r="I42" s="269"/>
      <c r="J42" s="214"/>
      <c r="K42" s="214"/>
      <c r="L42" s="214"/>
      <c r="M42" s="214"/>
      <c r="N42" s="214"/>
      <c r="O42" s="214"/>
      <c r="P42" s="214"/>
      <c r="Q42" s="214"/>
      <c r="R42" s="214"/>
      <c r="S42" s="261"/>
      <c r="T42" s="215"/>
      <c r="U42" s="264"/>
    </row>
    <row r="43" spans="1:21">
      <c r="A43" s="37"/>
      <c r="B43" s="79" t="s">
        <v>4</v>
      </c>
      <c r="C43" s="94"/>
      <c r="D43" s="94"/>
      <c r="E43" s="91"/>
      <c r="F43" s="91"/>
      <c r="G43" s="97"/>
      <c r="H43" s="127"/>
      <c r="I43" s="269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5"/>
      <c r="U43" s="264"/>
    </row>
    <row r="44" spans="1:21">
      <c r="A44" s="37"/>
      <c r="B44" s="83"/>
      <c r="C44" s="80" t="s">
        <v>215</v>
      </c>
      <c r="D44" s="80"/>
      <c r="E44" s="336" t="s">
        <v>219</v>
      </c>
      <c r="F44" s="336"/>
      <c r="G44" s="359"/>
      <c r="H44" s="90"/>
      <c r="I44" s="272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73"/>
      <c r="U44" s="264"/>
    </row>
    <row r="45" spans="1:21">
      <c r="A45" s="37"/>
      <c r="B45" s="83"/>
      <c r="C45" s="80" t="s">
        <v>212</v>
      </c>
      <c r="D45" s="80"/>
      <c r="E45" s="336" t="s">
        <v>90</v>
      </c>
      <c r="F45" s="336"/>
      <c r="G45" s="359"/>
      <c r="H45" s="90"/>
      <c r="I45" s="246" t="s">
        <v>220</v>
      </c>
      <c r="J45" s="157"/>
      <c r="K45" s="157"/>
      <c r="L45" s="157"/>
      <c r="M45" s="105"/>
      <c r="N45" s="80"/>
      <c r="O45" s="80"/>
      <c r="P45" s="80"/>
      <c r="Q45" s="80"/>
      <c r="R45" s="80"/>
      <c r="S45" s="76"/>
      <c r="T45" s="76"/>
      <c r="U45" s="58"/>
    </row>
    <row r="46" spans="1:21">
      <c r="A46" s="37"/>
      <c r="B46" s="83"/>
      <c r="C46" s="80" t="s">
        <v>216</v>
      </c>
      <c r="D46" s="80"/>
      <c r="E46" s="336" t="s">
        <v>121</v>
      </c>
      <c r="F46" s="336"/>
      <c r="G46" s="359"/>
      <c r="H46" s="90"/>
      <c r="I46" s="89"/>
      <c r="J46" s="100"/>
      <c r="K46" s="82" t="s">
        <v>212</v>
      </c>
      <c r="L46" s="218" t="s">
        <v>88</v>
      </c>
      <c r="M46" s="257" t="s">
        <v>132</v>
      </c>
      <c r="N46" s="80"/>
      <c r="O46" s="374" t="s">
        <v>226</v>
      </c>
      <c r="P46" s="375"/>
      <c r="Q46" s="375"/>
      <c r="R46" s="375"/>
      <c r="S46" s="18"/>
      <c r="T46" s="27"/>
      <c r="U46" s="58"/>
    </row>
    <row r="47" spans="1:21">
      <c r="A47" s="37"/>
      <c r="B47" s="98"/>
      <c r="C47" s="81"/>
      <c r="D47" s="81"/>
      <c r="E47" s="142"/>
      <c r="F47" s="142"/>
      <c r="G47" s="101"/>
      <c r="H47" s="90"/>
      <c r="I47" s="92"/>
      <c r="J47" s="81"/>
      <c r="K47" s="81"/>
      <c r="L47" s="81"/>
      <c r="M47" s="102"/>
      <c r="N47" s="80"/>
      <c r="O47" s="376"/>
      <c r="P47" s="377"/>
      <c r="Q47" s="377"/>
      <c r="R47" s="377"/>
      <c r="S47" s="1"/>
      <c r="T47" s="58"/>
      <c r="U47" s="58"/>
    </row>
    <row r="48" spans="1:21">
      <c r="A48" s="37"/>
      <c r="B48" s="81"/>
      <c r="C48" s="81"/>
      <c r="D48" s="81"/>
      <c r="E48" s="142"/>
      <c r="F48" s="142"/>
      <c r="G48" s="142"/>
      <c r="H48" s="142"/>
      <c r="I48" s="142"/>
      <c r="J48" s="81"/>
      <c r="K48" s="81"/>
      <c r="L48" s="81"/>
      <c r="M48" s="96"/>
      <c r="N48" s="103"/>
      <c r="O48" s="104"/>
      <c r="P48" s="103"/>
      <c r="Q48" s="103"/>
      <c r="R48" s="103"/>
      <c r="S48" s="127"/>
      <c r="T48" s="143"/>
      <c r="U48" s="58"/>
    </row>
    <row r="49" spans="1:25">
      <c r="A49" s="37"/>
      <c r="B49" s="83" t="s">
        <v>221</v>
      </c>
      <c r="C49" s="80"/>
      <c r="D49" s="80"/>
      <c r="E49" s="90"/>
      <c r="F49" s="90"/>
      <c r="G49" s="90"/>
      <c r="H49" s="90"/>
      <c r="I49" s="142"/>
      <c r="J49" s="80"/>
      <c r="K49" s="80"/>
      <c r="L49" s="80"/>
      <c r="M49" s="105"/>
      <c r="N49" s="80"/>
      <c r="O49" s="83"/>
      <c r="P49" s="84" t="s">
        <v>227</v>
      </c>
      <c r="Q49" s="90"/>
      <c r="R49" s="90"/>
      <c r="S49" s="127"/>
      <c r="T49" s="58"/>
      <c r="U49" s="58"/>
    </row>
    <row r="50" spans="1:25" ht="14.25">
      <c r="A50" s="37"/>
      <c r="B50" s="83"/>
      <c r="C50" s="80" t="s">
        <v>222</v>
      </c>
      <c r="D50" s="80"/>
      <c r="E50" s="80"/>
      <c r="F50" s="80"/>
      <c r="G50" s="80"/>
      <c r="H50" s="80"/>
      <c r="I50" s="219" t="s">
        <v>225</v>
      </c>
      <c r="J50" s="220" t="s">
        <v>131</v>
      </c>
      <c r="K50" s="80"/>
      <c r="L50" s="80"/>
      <c r="M50" s="105"/>
      <c r="N50" s="80"/>
      <c r="O50" s="83"/>
      <c r="P50" s="80"/>
      <c r="Q50" s="80" t="s">
        <v>228</v>
      </c>
      <c r="R50" s="90"/>
      <c r="S50" s="258">
        <v>10</v>
      </c>
      <c r="T50" s="301" t="s">
        <v>332</v>
      </c>
      <c r="U50" s="58"/>
    </row>
    <row r="51" spans="1:25" ht="15">
      <c r="A51" s="37"/>
      <c r="B51" s="83"/>
      <c r="C51" s="84" t="s">
        <v>223</v>
      </c>
      <c r="D51" s="80"/>
      <c r="E51" s="80"/>
      <c r="F51" s="80"/>
      <c r="G51" s="80"/>
      <c r="H51" s="80"/>
      <c r="I51" s="221" t="s">
        <v>225</v>
      </c>
      <c r="J51" s="222" t="s">
        <v>131</v>
      </c>
      <c r="K51" s="80"/>
      <c r="L51" s="80"/>
      <c r="M51" s="105"/>
      <c r="N51" s="80"/>
      <c r="O51" s="83"/>
      <c r="P51" s="80"/>
      <c r="Q51" s="80" t="s">
        <v>229</v>
      </c>
      <c r="R51" s="90"/>
      <c r="S51" s="216">
        <v>15</v>
      </c>
      <c r="T51" s="158" t="s">
        <v>136</v>
      </c>
      <c r="U51" s="58"/>
    </row>
    <row r="52" spans="1:25">
      <c r="A52" s="37"/>
      <c r="B52" s="83"/>
      <c r="C52" s="84" t="s">
        <v>189</v>
      </c>
      <c r="D52" s="80"/>
      <c r="E52" s="80"/>
      <c r="F52" s="80"/>
      <c r="G52" s="80"/>
      <c r="H52" s="80"/>
      <c r="I52" s="221" t="s">
        <v>225</v>
      </c>
      <c r="J52" s="220" t="s">
        <v>131</v>
      </c>
      <c r="K52" s="80"/>
      <c r="L52" s="82" t="s">
        <v>228</v>
      </c>
      <c r="M52" s="213"/>
      <c r="N52" s="80"/>
      <c r="O52" s="83"/>
      <c r="P52" s="80"/>
      <c r="Q52" s="80" t="s">
        <v>230</v>
      </c>
      <c r="R52" s="80"/>
      <c r="S52" s="224"/>
      <c r="T52" s="24"/>
      <c r="U52" s="58"/>
    </row>
    <row r="53" spans="1:25">
      <c r="A53" s="37"/>
      <c r="B53" s="83"/>
      <c r="C53" s="84" t="s">
        <v>224</v>
      </c>
      <c r="D53" s="80"/>
      <c r="E53" s="80"/>
      <c r="F53" s="80"/>
      <c r="G53" s="80"/>
      <c r="H53" s="80"/>
      <c r="I53" s="220" t="s">
        <v>225</v>
      </c>
      <c r="J53" s="219" t="s">
        <v>131</v>
      </c>
      <c r="K53" s="80"/>
      <c r="L53" s="82" t="s">
        <v>228</v>
      </c>
      <c r="M53" s="223">
        <v>6</v>
      </c>
      <c r="N53" s="80"/>
      <c r="O53" s="83"/>
      <c r="P53" s="80" t="s">
        <v>231</v>
      </c>
      <c r="Q53" s="90"/>
      <c r="R53" s="90"/>
      <c r="S53" s="127"/>
      <c r="T53" s="143"/>
      <c r="U53" s="58"/>
    </row>
    <row r="54" spans="1:25">
      <c r="A54" s="37"/>
      <c r="B54" s="83"/>
      <c r="C54" s="84" t="s">
        <v>188</v>
      </c>
      <c r="D54" s="80"/>
      <c r="E54" s="80"/>
      <c r="F54" s="80"/>
      <c r="G54" s="80"/>
      <c r="H54" s="80"/>
      <c r="I54" s="219" t="s">
        <v>225</v>
      </c>
      <c r="J54" s="220" t="s">
        <v>131</v>
      </c>
      <c r="K54" s="80"/>
      <c r="L54" s="82" t="s">
        <v>228</v>
      </c>
      <c r="M54" s="223"/>
      <c r="N54" s="80"/>
      <c r="O54" s="83"/>
      <c r="P54" s="80"/>
      <c r="Q54" s="377" t="s">
        <v>228</v>
      </c>
      <c r="R54" s="377"/>
      <c r="T54" s="259"/>
      <c r="U54" s="58"/>
    </row>
    <row r="55" spans="1:25">
      <c r="A55" s="37"/>
      <c r="B55" s="98"/>
      <c r="C55" s="81"/>
      <c r="D55" s="81"/>
      <c r="E55" s="81"/>
      <c r="F55" s="81"/>
      <c r="G55" s="81"/>
      <c r="H55" s="81"/>
      <c r="I55" s="142"/>
      <c r="J55" s="142"/>
      <c r="K55" s="81"/>
      <c r="L55" s="93"/>
      <c r="M55" s="102"/>
      <c r="N55" s="80"/>
      <c r="O55" s="83"/>
      <c r="P55" s="80"/>
      <c r="Q55" s="377"/>
      <c r="R55" s="377"/>
      <c r="S55" s="240">
        <v>12</v>
      </c>
      <c r="T55" s="314" t="s">
        <v>343</v>
      </c>
      <c r="U55" s="58"/>
    </row>
    <row r="56" spans="1:25">
      <c r="A56" s="37"/>
      <c r="B56" s="363" t="s">
        <v>239</v>
      </c>
      <c r="C56" s="363"/>
      <c r="D56" s="363"/>
      <c r="E56" s="262"/>
      <c r="F56" s="262"/>
      <c r="G56" s="263"/>
      <c r="H56" s="263"/>
      <c r="I56" s="263"/>
      <c r="J56" s="261"/>
      <c r="K56" s="261"/>
      <c r="L56" s="261"/>
      <c r="M56" s="261"/>
      <c r="N56" s="1"/>
      <c r="O56" s="37"/>
      <c r="P56" s="1"/>
      <c r="Q56" s="9" t="s">
        <v>229</v>
      </c>
      <c r="R56" s="127"/>
      <c r="S56" s="216">
        <v>53</v>
      </c>
      <c r="T56" s="260" t="s">
        <v>136</v>
      </c>
      <c r="U56" s="58"/>
    </row>
    <row r="57" spans="1:25">
      <c r="A57" s="37"/>
      <c r="B57" s="3"/>
      <c r="C57" s="14"/>
      <c r="D57" s="3"/>
      <c r="E57" s="3"/>
      <c r="F57" s="3"/>
      <c r="G57" s="130"/>
      <c r="H57" s="130"/>
      <c r="I57" s="130"/>
      <c r="J57" s="10"/>
      <c r="K57" s="10"/>
      <c r="L57" s="10"/>
      <c r="M57" s="10"/>
      <c r="N57" s="1"/>
      <c r="O57" s="37"/>
      <c r="P57" s="1"/>
      <c r="Q57" s="9" t="s">
        <v>230</v>
      </c>
      <c r="R57" s="1"/>
      <c r="S57" s="224" t="s">
        <v>186</v>
      </c>
      <c r="T57" s="24"/>
      <c r="U57" s="58"/>
    </row>
    <row r="58" spans="1:25">
      <c r="A58" s="3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3"/>
      <c r="Q58" s="3"/>
      <c r="R58" s="3"/>
      <c r="S58" s="3"/>
      <c r="T58" s="4"/>
      <c r="U58" s="58"/>
    </row>
    <row r="59" spans="1: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5">
      <c r="A60" s="347" t="s">
        <v>193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9"/>
    </row>
    <row r="61" spans="1:25">
      <c r="A61" s="37"/>
      <c r="B61" s="84" t="s">
        <v>259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1"/>
      <c r="S61" s="1"/>
      <c r="T61" s="1"/>
      <c r="U61" s="58"/>
    </row>
    <row r="62" spans="1:25">
      <c r="A62" s="37"/>
      <c r="B62" s="80"/>
      <c r="C62" s="80" t="s">
        <v>215</v>
      </c>
      <c r="E62" s="339" t="s">
        <v>122</v>
      </c>
      <c r="F62" s="339"/>
      <c r="G62" s="274"/>
      <c r="H62" s="90"/>
      <c r="I62" s="80"/>
      <c r="J62" s="80" t="s">
        <v>233</v>
      </c>
      <c r="K62" s="80"/>
      <c r="L62" s="338">
        <v>440</v>
      </c>
      <c r="M62" s="338"/>
      <c r="N62" s="157" t="s">
        <v>127</v>
      </c>
      <c r="O62" s="82"/>
      <c r="P62" s="80"/>
      <c r="Q62" s="80" t="s">
        <v>211</v>
      </c>
      <c r="R62" s="335" t="s">
        <v>236</v>
      </c>
      <c r="S62" s="336"/>
      <c r="T62" s="336"/>
      <c r="U62" s="58"/>
      <c r="Y62" s="80"/>
    </row>
    <row r="63" spans="1:25">
      <c r="A63" s="37"/>
      <c r="B63" s="80"/>
      <c r="C63" s="80" t="s">
        <v>212</v>
      </c>
      <c r="D63" s="80"/>
      <c r="E63" s="381">
        <v>10</v>
      </c>
      <c r="F63" s="381"/>
      <c r="G63" s="93" t="s">
        <v>126</v>
      </c>
      <c r="H63" s="90"/>
      <c r="I63" s="80"/>
      <c r="J63" s="80" t="s">
        <v>234</v>
      </c>
      <c r="K63" s="80"/>
      <c r="L63" s="350">
        <v>15</v>
      </c>
      <c r="M63" s="350"/>
      <c r="N63" s="106" t="s">
        <v>133</v>
      </c>
      <c r="O63" s="82"/>
      <c r="P63" s="80"/>
      <c r="Q63" s="80" t="s">
        <v>134</v>
      </c>
      <c r="R63" s="335"/>
      <c r="S63" s="336" t="s">
        <v>128</v>
      </c>
      <c r="T63" s="336" t="s">
        <v>128</v>
      </c>
      <c r="U63" s="58"/>
    </row>
    <row r="64" spans="1:25">
      <c r="A64" s="37"/>
      <c r="B64" s="80"/>
      <c r="C64" s="80" t="s">
        <v>232</v>
      </c>
      <c r="D64" s="80"/>
      <c r="E64" s="351">
        <v>3450</v>
      </c>
      <c r="F64" s="351"/>
      <c r="G64" s="106" t="s">
        <v>129</v>
      </c>
      <c r="H64" s="90"/>
      <c r="I64" s="80"/>
      <c r="J64" s="80" t="s">
        <v>235</v>
      </c>
      <c r="K64" s="80"/>
      <c r="L64" s="365">
        <v>0.79</v>
      </c>
      <c r="M64" s="365"/>
      <c r="N64" s="107"/>
      <c r="O64" s="107"/>
      <c r="P64" s="80"/>
      <c r="Q64" s="275" t="s">
        <v>306</v>
      </c>
      <c r="R64" s="335">
        <v>0.85</v>
      </c>
      <c r="S64" s="336"/>
      <c r="T64" s="336"/>
      <c r="U64" s="58"/>
    </row>
    <row r="65" spans="1:21">
      <c r="A65" s="37"/>
      <c r="B65" s="80" t="s">
        <v>237</v>
      </c>
      <c r="C65" s="80"/>
      <c r="D65" s="80"/>
      <c r="E65" s="94"/>
      <c r="F65" s="94"/>
      <c r="I65" s="80"/>
      <c r="J65" s="80"/>
      <c r="K65" s="80"/>
      <c r="L65" s="80"/>
      <c r="M65" s="80"/>
      <c r="N65" s="80"/>
      <c r="O65" s="80"/>
      <c r="P65" s="80"/>
      <c r="Q65" s="80"/>
      <c r="R65" s="9"/>
      <c r="S65" s="9"/>
      <c r="T65" s="9"/>
      <c r="U65" s="58"/>
    </row>
    <row r="66" spans="1:21">
      <c r="A66" s="37"/>
      <c r="B66" s="1"/>
      <c r="C66" s="84" t="s">
        <v>238</v>
      </c>
      <c r="D66" s="80"/>
      <c r="E66" s="338">
        <v>1</v>
      </c>
      <c r="F66" s="338"/>
      <c r="G66" s="93" t="s">
        <v>240</v>
      </c>
      <c r="I66" s="80" t="s">
        <v>243</v>
      </c>
      <c r="K66" s="80"/>
      <c r="L66" s="338">
        <v>0</v>
      </c>
      <c r="M66" s="338"/>
      <c r="O66" s="80"/>
      <c r="Q66" s="82" t="s">
        <v>241</v>
      </c>
      <c r="R66" s="308">
        <v>8760</v>
      </c>
      <c r="S66" s="337" t="s">
        <v>242</v>
      </c>
      <c r="T66" s="337"/>
      <c r="U66" s="58"/>
    </row>
    <row r="67" spans="1:21">
      <c r="A67" s="37"/>
      <c r="B67" s="1" t="s">
        <v>239</v>
      </c>
      <c r="C67" s="1"/>
      <c r="D67" s="1"/>
      <c r="E67" s="364" t="s">
        <v>305</v>
      </c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58"/>
    </row>
    <row r="68" spans="1:21" ht="7.5" customHeight="1">
      <c r="A68" s="2"/>
      <c r="B68" s="3"/>
      <c r="C68" s="3"/>
      <c r="D68" s="3"/>
      <c r="E68" s="3"/>
      <c r="F68" s="125"/>
      <c r="G68" s="10"/>
      <c r="H68" s="10"/>
      <c r="I68" s="150"/>
      <c r="J68" s="10"/>
      <c r="K68" s="10"/>
      <c r="L68" s="12"/>
      <c r="M68" s="10"/>
      <c r="N68" s="10"/>
      <c r="O68" s="10"/>
      <c r="P68" s="10"/>
      <c r="Q68" s="10"/>
      <c r="R68" s="10"/>
      <c r="S68" s="3"/>
      <c r="T68" s="3"/>
      <c r="U68" s="4"/>
    </row>
    <row r="69" spans="1:2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>
      <c r="A70" s="347" t="s">
        <v>195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9"/>
    </row>
    <row r="71" spans="1:21">
      <c r="A71" s="37"/>
      <c r="B71" s="1" t="s">
        <v>244</v>
      </c>
      <c r="C71" s="1"/>
      <c r="D71" s="1"/>
      <c r="E71" s="1"/>
      <c r="F71" s="1"/>
      <c r="G71" s="1"/>
      <c r="H71" s="1"/>
      <c r="I71" s="1"/>
      <c r="J71" s="1"/>
      <c r="K71" s="1" t="s">
        <v>246</v>
      </c>
      <c r="L71" s="1"/>
      <c r="M71" s="1"/>
      <c r="N71" s="1"/>
      <c r="O71" s="1"/>
      <c r="P71" s="1"/>
      <c r="Q71" s="1"/>
      <c r="R71" s="1"/>
      <c r="S71" s="1"/>
      <c r="T71" s="1"/>
      <c r="U71" s="58"/>
    </row>
    <row r="72" spans="1:21">
      <c r="A72" s="37"/>
      <c r="B72" s="80"/>
      <c r="C72" s="80" t="s">
        <v>215</v>
      </c>
      <c r="D72" s="352" t="s">
        <v>122</v>
      </c>
      <c r="E72" s="340"/>
      <c r="F72" s="340"/>
      <c r="G72" s="340"/>
      <c r="H72" s="340"/>
      <c r="I72" s="340"/>
      <c r="J72" s="80"/>
      <c r="K72" s="80"/>
      <c r="L72" s="80" t="s">
        <v>211</v>
      </c>
      <c r="N72" s="340" t="s">
        <v>187</v>
      </c>
      <c r="O72" s="340"/>
      <c r="P72" s="340"/>
      <c r="Q72" s="340"/>
      <c r="R72" s="340"/>
      <c r="S72" s="340"/>
      <c r="T72" s="1"/>
      <c r="U72" s="58"/>
    </row>
    <row r="73" spans="1:21">
      <c r="A73" s="37"/>
      <c r="B73" s="80"/>
      <c r="C73" s="80" t="s">
        <v>211</v>
      </c>
      <c r="D73" s="367" t="s">
        <v>236</v>
      </c>
      <c r="E73" s="368"/>
      <c r="F73" s="368"/>
      <c r="G73" s="368"/>
      <c r="H73" s="368"/>
      <c r="I73" s="368"/>
      <c r="J73" s="80"/>
      <c r="K73" s="80"/>
      <c r="L73" s="157" t="s">
        <v>135</v>
      </c>
      <c r="N73" s="340" t="s">
        <v>99</v>
      </c>
      <c r="O73" s="340"/>
      <c r="P73" s="340"/>
      <c r="Q73" s="340"/>
      <c r="R73" s="340"/>
      <c r="S73" s="340"/>
      <c r="T73" s="1"/>
      <c r="U73" s="58"/>
    </row>
    <row r="74" spans="1:21">
      <c r="A74" s="37"/>
      <c r="B74" s="80"/>
      <c r="C74" s="80" t="s">
        <v>245</v>
      </c>
      <c r="D74" s="367" t="s">
        <v>123</v>
      </c>
      <c r="E74" s="368"/>
      <c r="F74" s="368"/>
      <c r="G74" s="368"/>
      <c r="H74" s="368"/>
      <c r="I74" s="368"/>
      <c r="J74" s="80"/>
      <c r="K74" s="80"/>
      <c r="L74" s="84" t="s">
        <v>247</v>
      </c>
      <c r="M74" s="80"/>
      <c r="N74" s="381" t="s">
        <v>128</v>
      </c>
      <c r="O74" s="381"/>
      <c r="P74" s="381"/>
      <c r="Q74" s="381"/>
      <c r="R74" s="381"/>
      <c r="S74" s="157" t="s">
        <v>136</v>
      </c>
      <c r="T74" s="1"/>
      <c r="U74" s="58"/>
    </row>
    <row r="75" spans="1:21">
      <c r="A75" s="37"/>
      <c r="B75" s="80"/>
      <c r="C75" s="84" t="s">
        <v>238</v>
      </c>
      <c r="D75" s="80"/>
      <c r="E75" s="381">
        <v>1</v>
      </c>
      <c r="F75" s="381"/>
      <c r="G75" s="381"/>
      <c r="H75" s="381"/>
      <c r="I75" s="381"/>
      <c r="J75" s="108" t="s">
        <v>240</v>
      </c>
      <c r="K75" s="80"/>
      <c r="L75" s="84" t="s">
        <v>238</v>
      </c>
      <c r="M75" s="80"/>
      <c r="N75" s="381">
        <v>1</v>
      </c>
      <c r="O75" s="381"/>
      <c r="P75" s="381"/>
      <c r="Q75" s="381"/>
      <c r="R75" s="381"/>
      <c r="S75" s="106" t="s">
        <v>240</v>
      </c>
      <c r="T75" s="1"/>
      <c r="U75" s="58"/>
    </row>
    <row r="76" spans="1:21" ht="9" customHeight="1">
      <c r="A76" s="37"/>
      <c r="B76" s="80"/>
      <c r="C76" s="38"/>
      <c r="D76" s="9"/>
      <c r="E76" s="129"/>
      <c r="F76" s="129"/>
      <c r="G76" s="129"/>
      <c r="H76" s="129"/>
      <c r="I76" s="129"/>
      <c r="J76" s="9"/>
      <c r="K76" s="9"/>
      <c r="L76" s="38"/>
      <c r="M76" s="9"/>
      <c r="N76" s="77"/>
      <c r="O76" s="77"/>
      <c r="P76" s="77"/>
      <c r="Q76" s="77"/>
      <c r="R76" s="77"/>
      <c r="S76" s="280"/>
      <c r="T76" s="9"/>
      <c r="U76" s="58"/>
    </row>
    <row r="77" spans="1:21">
      <c r="A77" s="37"/>
      <c r="B77" s="84" t="s">
        <v>248</v>
      </c>
      <c r="C77" s="80"/>
      <c r="D77" s="80"/>
      <c r="E77" s="80"/>
      <c r="F77" s="80"/>
      <c r="G77" s="82" t="s">
        <v>247</v>
      </c>
      <c r="H77" s="82"/>
      <c r="I77" s="211"/>
      <c r="J77" s="276" t="s">
        <v>347</v>
      </c>
      <c r="L77" s="82" t="s">
        <v>229</v>
      </c>
      <c r="M77" s="80"/>
      <c r="N77" s="338"/>
      <c r="O77" s="338"/>
      <c r="P77" s="338"/>
      <c r="Q77" s="338"/>
      <c r="R77" s="338"/>
      <c r="S77" s="93" t="s">
        <v>136</v>
      </c>
      <c r="T77" s="1"/>
      <c r="U77" s="58"/>
    </row>
    <row r="78" spans="1:21">
      <c r="A78" s="37"/>
      <c r="B78" s="80" t="s">
        <v>249</v>
      </c>
      <c r="C78" s="80"/>
      <c r="D78" s="80"/>
      <c r="E78" s="80"/>
      <c r="F78" s="80"/>
      <c r="G78" s="277" t="s">
        <v>309</v>
      </c>
      <c r="H78" s="82"/>
      <c r="I78" s="211">
        <v>22</v>
      </c>
      <c r="J78" s="109" t="s">
        <v>136</v>
      </c>
      <c r="K78" s="82"/>
      <c r="L78" s="256" t="s">
        <v>308</v>
      </c>
      <c r="N78" s="381">
        <v>18.61</v>
      </c>
      <c r="O78" s="381"/>
      <c r="P78" s="381"/>
      <c r="Q78" s="381"/>
      <c r="R78" s="381"/>
      <c r="S78" s="279" t="s">
        <v>333</v>
      </c>
      <c r="T78" s="1"/>
      <c r="U78" s="58"/>
    </row>
    <row r="79" spans="1:21">
      <c r="A79" s="37"/>
      <c r="B79" s="80" t="s">
        <v>239</v>
      </c>
      <c r="C79" s="80"/>
      <c r="D79" s="80"/>
      <c r="E79" s="364" t="s">
        <v>307</v>
      </c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1"/>
      <c r="U79" s="58"/>
    </row>
    <row r="80" spans="1:21" ht="6.75" customHeight="1">
      <c r="A80" s="2"/>
      <c r="B80" s="3"/>
      <c r="C80" s="3"/>
      <c r="D80" s="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3"/>
      <c r="S80" s="205" t="s">
        <v>128</v>
      </c>
      <c r="T80" s="26"/>
      <c r="U80" s="4"/>
    </row>
    <row r="81" spans="1:2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6"/>
      <c r="T81" s="26"/>
      <c r="U81" s="4"/>
    </row>
    <row r="82" spans="1:21">
      <c r="A82" s="347" t="s">
        <v>197</v>
      </c>
      <c r="B82" s="348"/>
      <c r="C82" s="369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9"/>
    </row>
    <row r="83" spans="1:21" ht="13.5">
      <c r="A83" s="37"/>
      <c r="B83" s="1" t="s">
        <v>250</v>
      </c>
      <c r="C83" s="11"/>
      <c r="D83" s="368" t="s">
        <v>251</v>
      </c>
      <c r="E83" s="368"/>
      <c r="F83" s="368"/>
      <c r="G83" s="9"/>
      <c r="H83" s="9"/>
      <c r="I83" s="380" t="s">
        <v>310</v>
      </c>
      <c r="J83" s="380"/>
      <c r="K83" s="224">
        <v>21</v>
      </c>
      <c r="L83" s="281" t="s">
        <v>179</v>
      </c>
      <c r="M83" s="9"/>
      <c r="N83" s="9"/>
      <c r="O83" s="1"/>
      <c r="P83" s="23"/>
      <c r="Q83" s="9"/>
      <c r="R83" s="77" t="s">
        <v>91</v>
      </c>
      <c r="S83" s="309">
        <v>1000</v>
      </c>
      <c r="T83" s="283" t="s">
        <v>334</v>
      </c>
      <c r="U83" s="58"/>
    </row>
    <row r="84" spans="1:21">
      <c r="A84" s="37"/>
      <c r="B84" s="345" t="s">
        <v>239</v>
      </c>
      <c r="C84" s="345"/>
      <c r="D84" s="345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58"/>
    </row>
    <row r="85" spans="1:21" ht="5.2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4"/>
    </row>
    <row r="86" spans="1:21" ht="15" customHeight="1">
      <c r="S86" s="346"/>
      <c r="T86" s="346"/>
    </row>
    <row r="87" spans="1:21">
      <c r="A87" s="347" t="s">
        <v>198</v>
      </c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9"/>
    </row>
    <row r="88" spans="1:21">
      <c r="A88" s="37"/>
      <c r="B88" s="80" t="s">
        <v>92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1"/>
      <c r="T88" s="1"/>
      <c r="U88" s="58"/>
    </row>
    <row r="89" spans="1:21">
      <c r="A89" s="37"/>
      <c r="B89" s="80"/>
      <c r="C89" s="80" t="s">
        <v>93</v>
      </c>
      <c r="D89" s="80"/>
      <c r="E89" s="80"/>
      <c r="F89" s="80"/>
      <c r="G89" s="80"/>
      <c r="H89" s="80"/>
      <c r="I89" s="225">
        <v>32.42</v>
      </c>
      <c r="J89" s="256" t="s">
        <v>136</v>
      </c>
      <c r="K89" s="80"/>
      <c r="L89" s="80"/>
      <c r="M89" s="80"/>
      <c r="N89" s="80"/>
      <c r="O89" s="80"/>
      <c r="P89" s="80"/>
      <c r="Q89" s="82" t="s">
        <v>94</v>
      </c>
      <c r="R89" s="225">
        <v>39.950000000000003</v>
      </c>
      <c r="S89" s="285" t="s">
        <v>136</v>
      </c>
      <c r="U89" s="58"/>
    </row>
    <row r="90" spans="1:21">
      <c r="A90" s="37"/>
      <c r="B90" s="80"/>
      <c r="C90" s="80" t="s">
        <v>260</v>
      </c>
      <c r="D90" s="80"/>
      <c r="E90" s="80"/>
      <c r="F90" s="80"/>
      <c r="G90" s="80"/>
      <c r="H90" s="80"/>
      <c r="I90" s="224">
        <v>0.28000000000000003</v>
      </c>
      <c r="J90" s="279" t="s">
        <v>136</v>
      </c>
      <c r="K90" s="80"/>
      <c r="L90" s="80"/>
      <c r="M90" s="80"/>
      <c r="N90" s="80"/>
      <c r="O90" s="80"/>
      <c r="P90" s="80"/>
      <c r="Q90" s="82" t="s">
        <v>95</v>
      </c>
      <c r="R90" s="224">
        <v>0.98</v>
      </c>
      <c r="S90" s="284" t="s">
        <v>136</v>
      </c>
      <c r="U90" s="58"/>
    </row>
    <row r="91" spans="1:21">
      <c r="A91" s="3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1"/>
      <c r="T91" s="1"/>
      <c r="U91" s="58"/>
    </row>
    <row r="92" spans="1:21">
      <c r="A92" s="37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1"/>
      <c r="T92" s="1"/>
      <c r="U92" s="58"/>
    </row>
    <row r="93" spans="1:21">
      <c r="A93" s="37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1"/>
      <c r="T93" s="1"/>
      <c r="U93" s="58"/>
    </row>
    <row r="94" spans="1:21">
      <c r="A94" s="37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1"/>
      <c r="T94" s="1"/>
      <c r="U94" s="58"/>
    </row>
    <row r="95" spans="1:21">
      <c r="A95" s="37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1"/>
      <c r="T95" s="1"/>
      <c r="U95" s="58"/>
    </row>
    <row r="96" spans="1:21">
      <c r="A96" s="37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1"/>
      <c r="T96" s="1"/>
      <c r="U96" s="58"/>
    </row>
    <row r="97" spans="1:21">
      <c r="A97" s="3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8"/>
    </row>
    <row r="98" spans="1:21">
      <c r="A98" s="3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58"/>
    </row>
    <row r="99" spans="1:21">
      <c r="A99" s="3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58"/>
    </row>
    <row r="100" spans="1:21">
      <c r="A100" s="3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8"/>
    </row>
    <row r="101" spans="1:21">
      <c r="A101" s="3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8"/>
    </row>
    <row r="102" spans="1:21">
      <c r="A102" s="3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8"/>
    </row>
    <row r="103" spans="1:21">
      <c r="A103" s="3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8"/>
    </row>
    <row r="104" spans="1:21">
      <c r="A104" s="3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8"/>
    </row>
    <row r="105" spans="1:21">
      <c r="A105" s="3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8"/>
    </row>
    <row r="106" spans="1:21">
      <c r="A106" s="3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8"/>
    </row>
    <row r="107" spans="1:21">
      <c r="A107" s="3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8"/>
    </row>
    <row r="108" spans="1:21">
      <c r="A108" s="3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8"/>
    </row>
    <row r="109" spans="1:21">
      <c r="A109" s="3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8"/>
    </row>
    <row r="110" spans="1:21">
      <c r="A110" s="3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8"/>
    </row>
    <row r="111" spans="1:21">
      <c r="A111" s="3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8"/>
    </row>
    <row r="112" spans="1:21" ht="14.25">
      <c r="A112" s="37"/>
      <c r="B112" s="344"/>
      <c r="C112" s="344"/>
      <c r="D112" s="344"/>
      <c r="E112" s="344"/>
      <c r="F112" s="344" t="s">
        <v>96</v>
      </c>
      <c r="G112" s="344"/>
      <c r="H112" s="344"/>
      <c r="I112" s="366" t="s">
        <v>97</v>
      </c>
      <c r="J112" s="344"/>
      <c r="K112" s="344"/>
      <c r="L112" s="392" t="s">
        <v>331</v>
      </c>
      <c r="M112" s="344"/>
      <c r="N112" s="344"/>
      <c r="O112" s="344"/>
      <c r="P112" s="392" t="s">
        <v>335</v>
      </c>
      <c r="Q112" s="344"/>
      <c r="R112" s="344"/>
      <c r="S112" s="366" t="s">
        <v>98</v>
      </c>
      <c r="T112" s="344"/>
      <c r="U112" s="58"/>
    </row>
    <row r="113" spans="1:28">
      <c r="A113" s="37"/>
      <c r="B113" s="366" t="s">
        <v>167</v>
      </c>
      <c r="C113" s="344"/>
      <c r="D113" s="344"/>
      <c r="E113" s="344"/>
      <c r="F113" s="382">
        <v>0.1</v>
      </c>
      <c r="G113" s="382"/>
      <c r="H113" s="382"/>
      <c r="I113" s="383" t="s">
        <v>99</v>
      </c>
      <c r="J113" s="382"/>
      <c r="K113" s="382"/>
      <c r="L113" s="383"/>
      <c r="M113" s="382"/>
      <c r="N113" s="384"/>
      <c r="O113" s="382"/>
      <c r="P113" s="385">
        <v>4.7</v>
      </c>
      <c r="Q113" s="386"/>
      <c r="R113" s="387"/>
      <c r="S113" s="388">
        <f>(P113/1000)/(3.1416*F113*F113/4)</f>
        <v>0.59842118665648081</v>
      </c>
      <c r="T113" s="388"/>
      <c r="U113" s="58"/>
    </row>
    <row r="114" spans="1:28">
      <c r="A114" s="37"/>
      <c r="B114" s="366" t="s">
        <v>168</v>
      </c>
      <c r="C114" s="366"/>
      <c r="D114" s="366"/>
      <c r="E114" s="366"/>
      <c r="F114" s="382">
        <v>0.1</v>
      </c>
      <c r="G114" s="382"/>
      <c r="H114" s="382"/>
      <c r="I114" s="383" t="s">
        <v>99</v>
      </c>
      <c r="J114" s="382"/>
      <c r="K114" s="382"/>
      <c r="L114" s="226"/>
      <c r="M114" s="217">
        <v>1.3</v>
      </c>
      <c r="N114" s="227"/>
      <c r="O114" s="228"/>
      <c r="P114" s="385">
        <v>4.7</v>
      </c>
      <c r="Q114" s="386"/>
      <c r="R114" s="387"/>
      <c r="S114" s="388">
        <f>(P114/1000)/(3.1416*F114*F114/4)</f>
        <v>0.59842118665648081</v>
      </c>
      <c r="T114" s="388"/>
      <c r="U114" s="58"/>
    </row>
    <row r="115" spans="1:28" ht="8.25" customHeight="1">
      <c r="A115" s="37"/>
      <c r="B115" s="206"/>
      <c r="C115" s="206"/>
      <c r="D115" s="206"/>
      <c r="E115" s="206"/>
      <c r="F115" s="76"/>
      <c r="G115" s="76"/>
      <c r="H115" s="76"/>
      <c r="I115" s="206"/>
      <c r="J115" s="76"/>
      <c r="K115" s="76"/>
      <c r="L115" s="1"/>
      <c r="M115" s="6"/>
      <c r="N115" s="179"/>
      <c r="O115" s="6"/>
      <c r="P115" s="207"/>
      <c r="Q115" s="207"/>
      <c r="R115" s="207"/>
      <c r="S115" s="208"/>
      <c r="T115" s="208"/>
      <c r="U115" s="58"/>
    </row>
    <row r="116" spans="1:28">
      <c r="A116" s="37"/>
      <c r="B116" s="1" t="s">
        <v>38</v>
      </c>
      <c r="C116" s="1"/>
      <c r="D116" s="1"/>
      <c r="E116" s="253" t="s">
        <v>311</v>
      </c>
      <c r="F116" s="1"/>
      <c r="G116" s="1"/>
      <c r="H116" s="1"/>
      <c r="J116" s="310">
        <v>1045</v>
      </c>
      <c r="K116" s="3" t="s">
        <v>13</v>
      </c>
      <c r="L116" s="315" t="s">
        <v>344</v>
      </c>
      <c r="M116" s="1"/>
      <c r="N116" s="1"/>
      <c r="O116" s="1"/>
      <c r="P116" s="1"/>
      <c r="Q116" s="1"/>
      <c r="T116" s="1"/>
      <c r="U116" s="58"/>
    </row>
    <row r="117" spans="1:28">
      <c r="A117" s="37"/>
      <c r="E117" s="1" t="s">
        <v>14</v>
      </c>
      <c r="J117" s="310">
        <v>1047</v>
      </c>
      <c r="K117" s="3" t="s">
        <v>13</v>
      </c>
      <c r="U117" s="58"/>
    </row>
    <row r="118" spans="1:28" ht="9" customHeight="1">
      <c r="A118" s="3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8"/>
    </row>
    <row r="119" spans="1:28">
      <c r="A119" s="37"/>
      <c r="B119" s="39" t="s">
        <v>239</v>
      </c>
      <c r="C119" s="1"/>
      <c r="D119" s="1"/>
      <c r="E119" s="286" t="s">
        <v>59</v>
      </c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58"/>
    </row>
    <row r="120" spans="1:28" ht="5.25" customHeight="1">
      <c r="A120" s="341" t="s">
        <v>128</v>
      </c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3"/>
    </row>
    <row r="121" spans="1:28" ht="11.25" customHeight="1">
      <c r="A121" s="10"/>
      <c r="B121" s="1"/>
      <c r="C121" s="1"/>
      <c r="D121" s="9"/>
      <c r="E121" s="129"/>
      <c r="F121" s="129"/>
      <c r="G121" s="9"/>
      <c r="H121" s="9"/>
      <c r="I121" s="129"/>
      <c r="J121" s="391"/>
      <c r="K121" s="391"/>
      <c r="L121" s="129"/>
      <c r="M121" s="9"/>
      <c r="N121" s="9"/>
      <c r="O121" s="9"/>
      <c r="P121" s="9"/>
      <c r="Q121" s="129"/>
      <c r="R121" s="14"/>
      <c r="S121" s="14"/>
      <c r="T121" s="125"/>
      <c r="U121" s="10"/>
    </row>
    <row r="122" spans="1:28">
      <c r="A122" s="347" t="s">
        <v>199</v>
      </c>
      <c r="B122" s="348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9"/>
    </row>
    <row r="123" spans="1:28">
      <c r="A123" s="37"/>
      <c r="B123" s="1" t="s">
        <v>8</v>
      </c>
      <c r="C123" s="1"/>
      <c r="D123" s="1"/>
      <c r="E123" s="1"/>
      <c r="F123" s="1"/>
      <c r="H123" s="123" t="s">
        <v>5</v>
      </c>
      <c r="I123" s="340">
        <v>260.39999999999998</v>
      </c>
      <c r="J123" s="340"/>
      <c r="K123" s="1"/>
      <c r="L123" s="123" t="s">
        <v>6</v>
      </c>
      <c r="M123" s="340">
        <v>261.89999999999998</v>
      </c>
      <c r="N123" s="340"/>
      <c r="O123" s="340"/>
      <c r="P123" s="17"/>
      <c r="Q123" s="1"/>
      <c r="R123" s="123" t="s">
        <v>7</v>
      </c>
      <c r="S123" s="340">
        <v>255.8</v>
      </c>
      <c r="T123" s="340"/>
      <c r="U123" s="58"/>
      <c r="X123" t="s">
        <v>128</v>
      </c>
    </row>
    <row r="124" spans="1:28">
      <c r="A124" s="37"/>
      <c r="B124" s="1" t="s">
        <v>253</v>
      </c>
      <c r="C124" s="1"/>
      <c r="D124" s="1"/>
      <c r="E124" s="9"/>
      <c r="F124" s="9"/>
      <c r="H124" s="128" t="s">
        <v>137</v>
      </c>
      <c r="I124" s="340">
        <v>13.92</v>
      </c>
      <c r="J124" s="340"/>
      <c r="K124" s="129"/>
      <c r="L124" s="128" t="s">
        <v>138</v>
      </c>
      <c r="M124" s="340">
        <v>14.14</v>
      </c>
      <c r="N124" s="340"/>
      <c r="O124" s="340"/>
      <c r="P124" s="17"/>
      <c r="Q124" s="129"/>
      <c r="R124" s="128" t="s">
        <v>139</v>
      </c>
      <c r="S124" s="340">
        <v>12.93</v>
      </c>
      <c r="T124" s="340"/>
      <c r="U124" s="58"/>
      <c r="W124" s="13"/>
      <c r="X124" s="13"/>
      <c r="Y124" s="13"/>
      <c r="Z124" s="13"/>
      <c r="AB124" s="13"/>
    </row>
    <row r="125" spans="1:28">
      <c r="A125" s="37"/>
      <c r="B125" s="1" t="s">
        <v>254</v>
      </c>
      <c r="C125" s="1"/>
      <c r="D125" s="1"/>
      <c r="E125" s="9"/>
      <c r="F125" s="9"/>
      <c r="H125" s="128" t="s">
        <v>140</v>
      </c>
      <c r="I125" s="340">
        <v>2.92</v>
      </c>
      <c r="J125" s="340"/>
      <c r="K125" s="129"/>
      <c r="L125" s="128" t="s">
        <v>141</v>
      </c>
      <c r="M125" s="340">
        <v>2.86</v>
      </c>
      <c r="N125" s="340"/>
      <c r="O125" s="340"/>
      <c r="P125" s="17"/>
      <c r="Q125" s="129"/>
      <c r="R125" s="128" t="s">
        <v>142</v>
      </c>
      <c r="S125" s="340">
        <v>2.61</v>
      </c>
      <c r="T125" s="340"/>
      <c r="U125" s="58"/>
      <c r="Z125" s="13"/>
    </row>
    <row r="126" spans="1:28">
      <c r="A126" s="37"/>
      <c r="B126" s="1" t="s">
        <v>255</v>
      </c>
      <c r="C126" s="1"/>
      <c r="D126" s="1"/>
      <c r="E126" s="9"/>
      <c r="F126" s="9"/>
      <c r="H126" s="300" t="s">
        <v>348</v>
      </c>
      <c r="I126" s="389">
        <v>0.80600000000000005</v>
      </c>
      <c r="J126" s="389"/>
      <c r="K126" s="111"/>
      <c r="L126" s="317" t="s">
        <v>349</v>
      </c>
      <c r="M126" s="340">
        <v>0.77400000000000002</v>
      </c>
      <c r="N126" s="340"/>
      <c r="O126" s="340"/>
      <c r="P126" s="17"/>
      <c r="Q126" s="111"/>
      <c r="R126" s="317" t="s">
        <v>350</v>
      </c>
      <c r="S126" s="389">
        <v>0.79100000000000004</v>
      </c>
      <c r="T126" s="389"/>
      <c r="U126" s="58"/>
    </row>
    <row r="127" spans="1:28">
      <c r="A127" s="37"/>
      <c r="B127" s="38" t="s">
        <v>256</v>
      </c>
      <c r="C127" s="1"/>
      <c r="D127" s="1"/>
      <c r="E127" s="9"/>
      <c r="F127" s="9"/>
      <c r="H127" s="282" t="s">
        <v>312</v>
      </c>
      <c r="I127" s="390" t="s">
        <v>128</v>
      </c>
      <c r="J127" s="340"/>
      <c r="K127" s="9"/>
      <c r="L127" s="282" t="s">
        <v>313</v>
      </c>
      <c r="M127" s="340" t="s">
        <v>128</v>
      </c>
      <c r="N127" s="340"/>
      <c r="O127" s="340"/>
      <c r="P127" s="17"/>
      <c r="Q127" s="9"/>
      <c r="R127" s="128"/>
      <c r="S127" s="1"/>
      <c r="T127" s="1"/>
      <c r="U127" s="58"/>
    </row>
    <row r="128" spans="1:28">
      <c r="A128" s="37"/>
      <c r="B128" s="40" t="s">
        <v>257</v>
      </c>
      <c r="C128" s="1"/>
      <c r="D128" s="124"/>
      <c r="E128" s="129"/>
      <c r="F128" s="336" t="s">
        <v>65</v>
      </c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58"/>
    </row>
    <row r="129" spans="1:21">
      <c r="A129" s="37"/>
      <c r="B129" s="40" t="s">
        <v>258</v>
      </c>
      <c r="C129" s="1"/>
      <c r="D129" s="124"/>
      <c r="E129" s="129"/>
      <c r="F129" s="129"/>
      <c r="H129" s="128" t="s">
        <v>137</v>
      </c>
      <c r="I129" s="368"/>
      <c r="J129" s="368"/>
      <c r="K129" s="129"/>
      <c r="L129" s="128" t="s">
        <v>138</v>
      </c>
      <c r="M129" s="340"/>
      <c r="N129" s="340"/>
      <c r="O129" s="340"/>
      <c r="P129" s="17"/>
      <c r="Q129" s="9"/>
      <c r="R129" s="128" t="s">
        <v>139</v>
      </c>
      <c r="S129" s="368"/>
      <c r="T129" s="368"/>
      <c r="U129" s="58"/>
    </row>
    <row r="130" spans="1:21" ht="15.75">
      <c r="A130" s="37"/>
      <c r="B130" s="40" t="s">
        <v>63</v>
      </c>
      <c r="C130" s="1"/>
      <c r="D130" s="124"/>
      <c r="E130" s="129"/>
      <c r="F130" s="393" t="s">
        <v>66</v>
      </c>
      <c r="G130" s="393"/>
      <c r="H130" s="394"/>
      <c r="I130" s="229" t="s">
        <v>225</v>
      </c>
      <c r="J130" s="229" t="s">
        <v>131</v>
      </c>
      <c r="K130" s="393" t="s">
        <v>234</v>
      </c>
      <c r="L130" s="393"/>
      <c r="M130" s="381" t="s">
        <v>128</v>
      </c>
      <c r="N130" s="381"/>
      <c r="O130" s="41" t="s">
        <v>133</v>
      </c>
      <c r="P130" s="129"/>
      <c r="Q130" s="393" t="s">
        <v>100</v>
      </c>
      <c r="R130" s="393"/>
      <c r="S130" s="278" t="s">
        <v>128</v>
      </c>
      <c r="T130" s="287" t="s">
        <v>144</v>
      </c>
      <c r="U130" s="58"/>
    </row>
    <row r="131" spans="1:21">
      <c r="A131" s="37"/>
      <c r="B131" s="40" t="s">
        <v>64</v>
      </c>
      <c r="C131" s="1"/>
      <c r="D131" s="124"/>
      <c r="E131" s="230" t="s">
        <v>190</v>
      </c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58"/>
    </row>
    <row r="132" spans="1:21">
      <c r="A132" s="37"/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58"/>
    </row>
    <row r="133" spans="1:21" ht="7.5" customHeight="1">
      <c r="A133" s="37"/>
      <c r="B133" s="78"/>
      <c r="C133" s="3"/>
      <c r="D133" s="125"/>
      <c r="E133" s="30"/>
      <c r="F133" s="30"/>
      <c r="G133" s="86"/>
      <c r="H133" s="86"/>
      <c r="I133" s="30"/>
      <c r="J133" s="30"/>
      <c r="K133" s="30"/>
      <c r="L133" s="86"/>
      <c r="M133" s="141"/>
      <c r="N133" s="141"/>
      <c r="O133" s="141"/>
      <c r="P133" s="30"/>
      <c r="Q133" s="14"/>
      <c r="R133" s="86"/>
      <c r="S133" s="3"/>
      <c r="T133" s="3"/>
      <c r="U133" s="4"/>
    </row>
    <row r="134" spans="1:21">
      <c r="A134" s="10"/>
      <c r="B134" s="40"/>
      <c r="D134" s="124"/>
      <c r="E134" s="129"/>
      <c r="F134" s="129"/>
      <c r="G134" s="128"/>
      <c r="H134" s="128"/>
      <c r="I134" s="129"/>
      <c r="J134" s="129"/>
      <c r="K134" s="129"/>
      <c r="L134" s="128"/>
      <c r="M134" s="127"/>
      <c r="N134" s="127"/>
      <c r="O134" s="127"/>
      <c r="P134" s="129"/>
      <c r="Q134" s="9"/>
      <c r="R134" s="128"/>
      <c r="S134" s="1"/>
      <c r="T134" s="1"/>
      <c r="U134" s="1"/>
    </row>
    <row r="135" spans="1:21">
      <c r="A135" s="347" t="s">
        <v>203</v>
      </c>
      <c r="B135" s="348"/>
      <c r="C135" s="348"/>
      <c r="D135" s="348"/>
      <c r="E135" s="348"/>
      <c r="F135" s="348"/>
      <c r="G135" s="348"/>
      <c r="H135" s="348"/>
      <c r="I135" s="348"/>
      <c r="J135" s="348"/>
      <c r="K135" s="34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9"/>
    </row>
    <row r="136" spans="1:21">
      <c r="A136" s="37"/>
      <c r="B136" s="1"/>
      <c r="C136" s="1"/>
      <c r="D136" s="1"/>
      <c r="E136" s="1"/>
      <c r="F136" s="1"/>
      <c r="G136" s="1"/>
      <c r="H136" s="1"/>
      <c r="I136" s="1"/>
      <c r="J136" s="11"/>
      <c r="K136" s="11"/>
      <c r="L136" s="1"/>
      <c r="M136" s="1"/>
      <c r="N136" s="11"/>
      <c r="O136" s="11"/>
      <c r="P136" s="11"/>
      <c r="Q136" s="11"/>
      <c r="R136" s="11"/>
      <c r="S136" s="1"/>
      <c r="T136" s="1"/>
      <c r="U136" s="58"/>
    </row>
    <row r="137" spans="1:21">
      <c r="A137" s="37"/>
      <c r="B137" s="403" t="s">
        <v>67</v>
      </c>
      <c r="C137" s="404"/>
      <c r="D137" s="404"/>
      <c r="E137" s="406" t="s">
        <v>101</v>
      </c>
      <c r="F137" s="407"/>
      <c r="G137" s="407"/>
      <c r="H137" s="407" t="s">
        <v>68</v>
      </c>
      <c r="I137" s="407"/>
      <c r="J137" s="407"/>
      <c r="K137" s="407"/>
      <c r="L137" s="407"/>
      <c r="M137" s="406" t="s">
        <v>69</v>
      </c>
      <c r="N137" s="407"/>
      <c r="O137" s="407"/>
      <c r="P137" s="407"/>
      <c r="Q137" s="407"/>
      <c r="R137" s="406" t="s">
        <v>70</v>
      </c>
      <c r="S137" s="407"/>
      <c r="T137" s="407"/>
      <c r="U137" s="58"/>
    </row>
    <row r="138" spans="1:21">
      <c r="A138" s="37"/>
      <c r="B138" s="404"/>
      <c r="C138" s="404"/>
      <c r="D138" s="404"/>
      <c r="E138" s="155" t="s">
        <v>133</v>
      </c>
      <c r="F138" s="155" t="s">
        <v>145</v>
      </c>
      <c r="G138" s="155" t="s">
        <v>146</v>
      </c>
      <c r="H138" s="401" t="s">
        <v>133</v>
      </c>
      <c r="I138" s="401"/>
      <c r="J138" s="155" t="s">
        <v>145</v>
      </c>
      <c r="K138" s="401" t="s">
        <v>146</v>
      </c>
      <c r="L138" s="401"/>
      <c r="M138" s="155" t="s">
        <v>133</v>
      </c>
      <c r="N138" s="401" t="s">
        <v>145</v>
      </c>
      <c r="O138" s="401"/>
      <c r="P138" s="401"/>
      <c r="Q138" s="155" t="s">
        <v>146</v>
      </c>
      <c r="R138" s="155" t="s">
        <v>133</v>
      </c>
      <c r="S138" s="155" t="s">
        <v>145</v>
      </c>
      <c r="T138" s="155" t="s">
        <v>146</v>
      </c>
      <c r="U138" s="58"/>
    </row>
    <row r="139" spans="1:21">
      <c r="A139" s="37"/>
      <c r="B139" s="405"/>
      <c r="C139" s="405"/>
      <c r="D139" s="405"/>
      <c r="E139" s="247">
        <v>40</v>
      </c>
      <c r="F139" s="219">
        <v>41</v>
      </c>
      <c r="G139" s="219">
        <v>39</v>
      </c>
      <c r="H139" s="382">
        <v>53</v>
      </c>
      <c r="I139" s="382"/>
      <c r="J139" s="219">
        <v>49</v>
      </c>
      <c r="K139" s="382">
        <v>40</v>
      </c>
      <c r="L139" s="382"/>
      <c r="M139" s="219">
        <v>46</v>
      </c>
      <c r="N139" s="382">
        <v>44</v>
      </c>
      <c r="O139" s="382"/>
      <c r="P139" s="382"/>
      <c r="Q139" s="219">
        <v>52</v>
      </c>
      <c r="R139" s="219">
        <v>43</v>
      </c>
      <c r="S139" s="219">
        <v>42</v>
      </c>
      <c r="T139" s="219">
        <v>54</v>
      </c>
      <c r="U139" s="58"/>
    </row>
    <row r="140" spans="1:21" ht="3.75" customHeight="1">
      <c r="A140" s="37"/>
      <c r="B140" s="32"/>
      <c r="C140" s="32"/>
      <c r="D140" s="32"/>
      <c r="E140" s="11"/>
      <c r="F140" s="1"/>
      <c r="G140" s="1"/>
      <c r="H140" s="76"/>
      <c r="I140" s="76"/>
      <c r="J140" s="55"/>
      <c r="K140" s="55"/>
      <c r="L140" s="55"/>
      <c r="M140" s="55"/>
      <c r="N140" s="55"/>
      <c r="O140" s="55"/>
      <c r="P140" s="55"/>
      <c r="Q140" s="11"/>
      <c r="R140" s="11"/>
      <c r="S140" s="11"/>
      <c r="T140" s="11"/>
      <c r="U140" s="58"/>
    </row>
    <row r="141" spans="1:21">
      <c r="A141" s="37"/>
      <c r="B141" s="366" t="s">
        <v>151</v>
      </c>
      <c r="C141" s="344"/>
      <c r="D141" s="344"/>
      <c r="E141" s="344"/>
      <c r="F141" s="395" t="s">
        <v>79</v>
      </c>
      <c r="G141" s="366"/>
      <c r="H141" s="366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58"/>
    </row>
    <row r="142" spans="1:21">
      <c r="A142" s="37"/>
      <c r="B142" s="396" t="s">
        <v>71</v>
      </c>
      <c r="C142" s="397"/>
      <c r="D142" s="400" t="s">
        <v>72</v>
      </c>
      <c r="E142" s="401"/>
      <c r="F142" s="402" t="s">
        <v>75</v>
      </c>
      <c r="G142" s="401"/>
      <c r="H142" s="401"/>
      <c r="I142" s="401"/>
      <c r="J142" s="400" t="s">
        <v>76</v>
      </c>
      <c r="K142" s="400"/>
      <c r="L142" s="400"/>
      <c r="M142" s="400"/>
      <c r="N142" s="400"/>
      <c r="O142" s="400"/>
      <c r="P142" s="400"/>
      <c r="Q142" s="406" t="s">
        <v>77</v>
      </c>
      <c r="R142" s="407"/>
      <c r="S142" s="400" t="s">
        <v>78</v>
      </c>
      <c r="T142" s="401"/>
      <c r="U142" s="58"/>
    </row>
    <row r="143" spans="1:21">
      <c r="A143" s="37"/>
      <c r="B143" s="398"/>
      <c r="C143" s="399"/>
      <c r="D143" s="156" t="s">
        <v>73</v>
      </c>
      <c r="E143" s="156" t="s">
        <v>74</v>
      </c>
      <c r="F143" s="132" t="s">
        <v>147</v>
      </c>
      <c r="G143" s="131" t="s">
        <v>149</v>
      </c>
      <c r="H143" s="400" t="s">
        <v>150</v>
      </c>
      <c r="I143" s="401"/>
      <c r="J143" s="131" t="s">
        <v>148</v>
      </c>
      <c r="K143" s="400" t="s">
        <v>147</v>
      </c>
      <c r="L143" s="401"/>
      <c r="M143" s="131" t="s">
        <v>149</v>
      </c>
      <c r="N143" s="400" t="s">
        <v>150</v>
      </c>
      <c r="O143" s="401"/>
      <c r="P143" s="401"/>
      <c r="Q143" s="156" t="s">
        <v>73</v>
      </c>
      <c r="R143" s="156" t="s">
        <v>74</v>
      </c>
      <c r="S143" s="156" t="s">
        <v>73</v>
      </c>
      <c r="T143" s="156" t="s">
        <v>74</v>
      </c>
      <c r="U143" s="58"/>
    </row>
    <row r="144" spans="1:21">
      <c r="A144" s="37"/>
      <c r="B144" s="410">
        <v>42</v>
      </c>
      <c r="C144" s="411"/>
      <c r="D144" s="219">
        <v>48</v>
      </c>
      <c r="E144" s="288">
        <v>40</v>
      </c>
      <c r="F144" s="232">
        <v>38</v>
      </c>
      <c r="G144" s="221">
        <v>39</v>
      </c>
      <c r="H144" s="383">
        <v>39</v>
      </c>
      <c r="I144" s="382"/>
      <c r="J144" s="219">
        <v>36</v>
      </c>
      <c r="K144" s="382">
        <v>40</v>
      </c>
      <c r="L144" s="382"/>
      <c r="M144" s="219">
        <v>38</v>
      </c>
      <c r="N144" s="382">
        <v>39</v>
      </c>
      <c r="O144" s="382"/>
      <c r="P144" s="382"/>
      <c r="Q144" s="219">
        <v>41</v>
      </c>
      <c r="R144" s="219">
        <v>40</v>
      </c>
      <c r="S144" s="219">
        <v>41</v>
      </c>
      <c r="T144" s="219">
        <v>39</v>
      </c>
      <c r="U144" s="58"/>
    </row>
    <row r="145" spans="1:21">
      <c r="A145" s="37"/>
      <c r="B145" s="73" t="s">
        <v>239</v>
      </c>
      <c r="C145" s="55"/>
      <c r="D145" s="11"/>
      <c r="E145" s="233"/>
      <c r="F145" s="367" t="s">
        <v>128</v>
      </c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7"/>
      <c r="R145" s="367"/>
      <c r="S145" s="367"/>
      <c r="T145" s="367"/>
      <c r="U145" s="58"/>
    </row>
    <row r="146" spans="1:21">
      <c r="A146" s="37"/>
      <c r="B146" s="352" t="s">
        <v>128</v>
      </c>
      <c r="C146" s="352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58"/>
    </row>
    <row r="147" spans="1:21" ht="7.5" customHeight="1">
      <c r="A147" s="2"/>
      <c r="B147" s="3"/>
      <c r="C147" s="3"/>
      <c r="D147" s="3"/>
      <c r="E147" s="3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15"/>
      <c r="S147" s="416"/>
      <c r="T147" s="416"/>
      <c r="U147" s="4"/>
    </row>
    <row r="148" spans="1:21" ht="12.75" customHeight="1">
      <c r="A148" s="1"/>
      <c r="B148" s="1"/>
      <c r="C148" s="1"/>
      <c r="D148" s="1"/>
      <c r="E148" s="20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28"/>
      <c r="S148" s="129"/>
      <c r="T148" s="129"/>
      <c r="U148" s="1"/>
    </row>
    <row r="149" spans="1:21" ht="12.75" customHeight="1">
      <c r="A149" s="417" t="s">
        <v>33</v>
      </c>
      <c r="B149" s="418"/>
      <c r="C149" s="418"/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9"/>
    </row>
    <row r="150" spans="1:21" ht="12.75" customHeight="1">
      <c r="A150" s="37"/>
      <c r="B150" s="420" t="s">
        <v>103</v>
      </c>
      <c r="C150" s="421"/>
      <c r="D150" s="421"/>
      <c r="E150" s="421"/>
      <c r="F150" s="422"/>
      <c r="G150" s="426" t="s">
        <v>84</v>
      </c>
      <c r="H150" s="408" t="s">
        <v>102</v>
      </c>
      <c r="I150" s="427"/>
      <c r="J150" s="408" t="s">
        <v>263</v>
      </c>
      <c r="K150" s="408"/>
      <c r="L150" s="408"/>
      <c r="M150" s="408"/>
      <c r="N150" s="409" t="s">
        <v>83</v>
      </c>
      <c r="O150" s="409"/>
      <c r="P150" s="409"/>
      <c r="Q150" s="121" t="s">
        <v>314</v>
      </c>
      <c r="R150" s="409" t="s">
        <v>264</v>
      </c>
      <c r="S150" s="409"/>
      <c r="T150" s="409"/>
      <c r="U150" s="58"/>
    </row>
    <row r="151" spans="1:21" ht="12.75" customHeight="1">
      <c r="A151" s="37"/>
      <c r="B151" s="423"/>
      <c r="C151" s="424"/>
      <c r="D151" s="424"/>
      <c r="E151" s="424"/>
      <c r="F151" s="425"/>
      <c r="G151" s="400"/>
      <c r="H151" s="366" t="s">
        <v>136</v>
      </c>
      <c r="I151" s="344"/>
      <c r="J151" s="412" t="s">
        <v>152</v>
      </c>
      <c r="K151" s="413"/>
      <c r="L151" s="412" t="s">
        <v>144</v>
      </c>
      <c r="M151" s="413"/>
      <c r="N151" s="414" t="s">
        <v>133</v>
      </c>
      <c r="O151" s="414"/>
      <c r="P151" s="414"/>
      <c r="Q151" s="151" t="s">
        <v>265</v>
      </c>
      <c r="R151" s="151" t="s">
        <v>130</v>
      </c>
      <c r="S151" s="414" t="s">
        <v>266</v>
      </c>
      <c r="T151" s="414"/>
      <c r="U151" s="58"/>
    </row>
    <row r="152" spans="1:21" ht="12.75" customHeight="1">
      <c r="A152" s="37"/>
      <c r="B152" s="433" t="s">
        <v>267</v>
      </c>
      <c r="C152" s="434"/>
      <c r="D152" s="413" t="s">
        <v>268</v>
      </c>
      <c r="E152" s="437"/>
      <c r="F152" s="438"/>
      <c r="G152" s="234" t="s">
        <v>82</v>
      </c>
      <c r="H152" s="439">
        <f>S51</f>
        <v>15</v>
      </c>
      <c r="I152" s="440"/>
      <c r="J152" s="441">
        <v>2.1</v>
      </c>
      <c r="K152" s="442"/>
      <c r="L152" s="430">
        <f>J152*H152/1000</f>
        <v>3.15E-2</v>
      </c>
      <c r="M152" s="430"/>
      <c r="N152" s="431">
        <f>E160</f>
        <v>13.663333333333334</v>
      </c>
      <c r="O152" s="431"/>
      <c r="P152" s="431"/>
      <c r="Q152" s="311">
        <f>R66</f>
        <v>8760</v>
      </c>
      <c r="R152" s="235">
        <f>N152*N152*L152*3/1000</f>
        <v>1.764189105E-2</v>
      </c>
      <c r="S152" s="432">
        <f>Q152*R152</f>
        <v>154.54296559799999</v>
      </c>
      <c r="T152" s="432"/>
      <c r="U152" s="58"/>
    </row>
    <row r="153" spans="1:21" ht="12.75" customHeight="1">
      <c r="A153" s="37"/>
      <c r="B153" s="435"/>
      <c r="C153" s="436"/>
      <c r="D153" s="413" t="s">
        <v>80</v>
      </c>
      <c r="E153" s="437"/>
      <c r="F153" s="438"/>
      <c r="G153" s="234" t="s">
        <v>125</v>
      </c>
      <c r="H153" s="439">
        <f>S56</f>
        <v>53</v>
      </c>
      <c r="I153" s="440"/>
      <c r="J153" s="441">
        <v>5.32</v>
      </c>
      <c r="K153" s="442"/>
      <c r="L153" s="430">
        <f>J153*H153/1000</f>
        <v>0.28196000000000004</v>
      </c>
      <c r="M153" s="430"/>
      <c r="N153" s="431">
        <f>N152</f>
        <v>13.663333333333334</v>
      </c>
      <c r="O153" s="431"/>
      <c r="P153" s="431"/>
      <c r="Q153" s="311">
        <f>Q152</f>
        <v>8760</v>
      </c>
      <c r="R153" s="235">
        <f>N153*N153*L153*3/1000</f>
        <v>0.1579145269986667</v>
      </c>
      <c r="S153" s="432">
        <f>Q153*R153</f>
        <v>1383.3312565083204</v>
      </c>
      <c r="T153" s="432"/>
      <c r="U153" s="58"/>
    </row>
    <row r="154" spans="1:21" ht="7.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4"/>
    </row>
    <row r="155" spans="1:21" ht="12" customHeight="1"/>
    <row r="156" spans="1:21" ht="14.1" customHeight="1">
      <c r="A156" s="347" t="s">
        <v>34</v>
      </c>
      <c r="B156" s="348"/>
      <c r="C156" s="348"/>
      <c r="D156" s="348"/>
      <c r="E156" s="348"/>
      <c r="F156" s="348"/>
      <c r="G156" s="348"/>
      <c r="H156" s="348"/>
      <c r="I156" s="348"/>
      <c r="J156" s="348"/>
      <c r="K156" s="348"/>
      <c r="L156" s="348"/>
      <c r="M156" s="348"/>
      <c r="N156" s="348"/>
      <c r="O156" s="348"/>
      <c r="P156" s="348"/>
      <c r="Q156" s="348"/>
      <c r="R156" s="348"/>
      <c r="S156" s="348"/>
      <c r="T156" s="348"/>
      <c r="U156" s="349"/>
    </row>
    <row r="157" spans="1:21" ht="5.25" customHeight="1">
      <c r="A157" s="20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6"/>
    </row>
    <row r="158" spans="1:21" ht="14.1" customHeight="1">
      <c r="A158" s="20"/>
      <c r="B158" s="35"/>
      <c r="C158" s="133"/>
      <c r="D158" s="133"/>
      <c r="E158" s="428" t="s">
        <v>269</v>
      </c>
      <c r="F158" s="428"/>
      <c r="G158" s="428" t="s">
        <v>270</v>
      </c>
      <c r="H158" s="428"/>
      <c r="I158" s="428"/>
      <c r="J158" s="428" t="s">
        <v>271</v>
      </c>
      <c r="K158" s="428"/>
      <c r="L158" s="428"/>
      <c r="M158" s="428" t="s">
        <v>153</v>
      </c>
      <c r="N158" s="429"/>
      <c r="O158" s="34"/>
      <c r="P158" s="443" t="s">
        <v>272</v>
      </c>
      <c r="Q158" s="444"/>
      <c r="R158" s="444"/>
      <c r="S158" s="444"/>
      <c r="T158" s="445"/>
      <c r="U158" s="16"/>
    </row>
    <row r="159" spans="1:21" ht="14.1" customHeight="1">
      <c r="A159" s="20"/>
      <c r="B159" s="36" t="s">
        <v>273</v>
      </c>
      <c r="C159" s="15"/>
      <c r="D159" s="15"/>
      <c r="E159" s="448">
        <f>AVERAGE(I123,M123,S123)*1.732-L153*N153</f>
        <v>445.3705531999999</v>
      </c>
      <c r="F159" s="448"/>
      <c r="G159" s="446">
        <f>MAX(ABS(AVERAGE(I123,M123,S123)-I123),ABS(AVERAGE(I123,M123,S123)-M123),ABS(AVERAGE(I123,M123,S123)-S123))/E159</f>
        <v>8.008312720811931E-3</v>
      </c>
      <c r="H159" s="446"/>
      <c r="I159" s="446"/>
      <c r="J159" s="449" t="s">
        <v>17</v>
      </c>
      <c r="K159" s="450"/>
      <c r="L159" s="450"/>
      <c r="M159" s="446">
        <f>(E159-L62)/L62</f>
        <v>1.220580272727251E-2</v>
      </c>
      <c r="N159" s="447"/>
      <c r="O159" s="42"/>
      <c r="P159" s="455" t="s">
        <v>352</v>
      </c>
      <c r="Q159" s="456"/>
      <c r="R159" s="456"/>
      <c r="S159" s="446">
        <f>E166</f>
        <v>0.85984463814512568</v>
      </c>
      <c r="T159" s="447"/>
      <c r="U159" s="16"/>
    </row>
    <row r="160" spans="1:21" ht="14.1" customHeight="1">
      <c r="A160" s="20"/>
      <c r="B160" s="36" t="s">
        <v>274</v>
      </c>
      <c r="C160" s="15"/>
      <c r="D160" s="112"/>
      <c r="E160" s="448">
        <f>AVERAGE(I124,M124,S124)</f>
        <v>13.663333333333334</v>
      </c>
      <c r="F160" s="448"/>
      <c r="G160" s="446">
        <f>MAX(ABS(E160-I124),ABS(E160-M124),ABS(E160-S124))/E160</f>
        <v>5.3671627226152784E-2</v>
      </c>
      <c r="H160" s="446"/>
      <c r="I160" s="446"/>
      <c r="J160" s="449" t="s">
        <v>18</v>
      </c>
      <c r="K160" s="450"/>
      <c r="L160" s="450"/>
      <c r="M160" s="451"/>
      <c r="N160" s="452"/>
      <c r="O160" s="42"/>
      <c r="P160" s="455" t="s">
        <v>315</v>
      </c>
      <c r="Q160" s="456"/>
      <c r="R160" s="456"/>
      <c r="S160" s="453">
        <f>F166</f>
        <v>0.77954508526193211</v>
      </c>
      <c r="T160" s="454"/>
      <c r="U160" s="16"/>
    </row>
    <row r="161" spans="1:23" ht="14.1" customHeight="1">
      <c r="A161" s="20"/>
      <c r="B161" s="36" t="s">
        <v>275</v>
      </c>
      <c r="C161" s="15"/>
      <c r="D161" s="15"/>
      <c r="E161" s="448">
        <f>SUM(I125,M125,S125)-R153</f>
        <v>8.232085473001332</v>
      </c>
      <c r="F161" s="448"/>
      <c r="G161" s="446">
        <f>MAX(ABS(AVERAGE(I125,M125,S125)-I125),ABS(AVERAGE(I125,M125,S125)-M125),ABS(AVERAGE(I125,M125,S125)-S125))/(AVERAGE(I125,M125,S125))</f>
        <v>6.6746126340881964E-2</v>
      </c>
      <c r="H161" s="446"/>
      <c r="I161" s="446"/>
      <c r="J161" s="449" t="s">
        <v>19</v>
      </c>
      <c r="K161" s="450"/>
      <c r="L161" s="450"/>
      <c r="M161" s="451"/>
      <c r="N161" s="452"/>
      <c r="O161" s="42"/>
      <c r="P161" s="455" t="s">
        <v>316</v>
      </c>
      <c r="Q161" s="456"/>
      <c r="R161" s="456"/>
      <c r="S161" s="469">
        <f>S160-S162</f>
        <v>3.1522212724277576E-4</v>
      </c>
      <c r="T161" s="470"/>
      <c r="U161" s="16"/>
    </row>
    <row r="162" spans="1:23" ht="14.1" customHeight="1">
      <c r="A162" s="20"/>
      <c r="B162" s="113" t="s">
        <v>355</v>
      </c>
      <c r="C162" s="114"/>
      <c r="D162" s="33"/>
      <c r="E162" s="471">
        <f>E161*1000/(E159*E160*1.732)</f>
        <v>0.78105896315737511</v>
      </c>
      <c r="F162" s="471"/>
      <c r="G162" s="472">
        <f>MAX(ABS(AVERAGE(I126,M126,S126)-I126),ABS(AVERAGE(I126,M126,S126)-M126),ABS(AVERAGE(I126,M126,S126)-S126))/E162</f>
        <v>2.0911780164850777E-2</v>
      </c>
      <c r="H162" s="472"/>
      <c r="I162" s="472"/>
      <c r="J162" s="473" t="s">
        <v>20</v>
      </c>
      <c r="K162" s="474"/>
      <c r="L162" s="474"/>
      <c r="M162" s="475"/>
      <c r="N162" s="476"/>
      <c r="O162" s="42"/>
      <c r="P162" s="458" t="s">
        <v>317</v>
      </c>
      <c r="Q162" s="459"/>
      <c r="R162" s="459"/>
      <c r="S162" s="472">
        <f>R166*(S160+P166-M166-K166)</f>
        <v>0.77922986313468934</v>
      </c>
      <c r="T162" s="477"/>
      <c r="U162" s="16"/>
    </row>
    <row r="163" spans="1:23" ht="14.1" customHeight="1">
      <c r="A163" s="20"/>
      <c r="B163" s="115"/>
      <c r="C163" s="112"/>
      <c r="D163" s="15"/>
      <c r="E163" s="318"/>
      <c r="F163" s="318"/>
      <c r="G163" s="298"/>
      <c r="H163" s="298"/>
      <c r="I163" s="298"/>
      <c r="J163" s="319"/>
      <c r="K163" s="319"/>
      <c r="L163" s="319"/>
      <c r="M163" s="298"/>
      <c r="N163" s="298"/>
      <c r="O163" s="42"/>
      <c r="P163" s="320"/>
      <c r="Q163" s="319"/>
      <c r="R163" s="319"/>
      <c r="S163" s="298"/>
      <c r="T163" s="134"/>
      <c r="U163" s="16"/>
    </row>
    <row r="164" spans="1:23" ht="14.1" customHeight="1">
      <c r="A164" s="20"/>
      <c r="B164" s="460" t="s">
        <v>276</v>
      </c>
      <c r="C164" s="461"/>
      <c r="D164" s="461"/>
      <c r="E164" s="461"/>
      <c r="F164" s="461"/>
      <c r="G164" s="461"/>
      <c r="H164" s="461"/>
      <c r="I164" s="461"/>
      <c r="J164" s="461"/>
      <c r="K164" s="461"/>
      <c r="L164" s="461"/>
      <c r="M164" s="461"/>
      <c r="N164" s="461"/>
      <c r="O164" s="461"/>
      <c r="P164" s="461"/>
      <c r="Q164" s="461"/>
      <c r="R164" s="461"/>
      <c r="S164" s="462"/>
      <c r="T164" s="116"/>
      <c r="U164" s="16"/>
    </row>
    <row r="165" spans="1:23" ht="14.1" customHeight="1">
      <c r="A165" s="20"/>
      <c r="B165" s="463" t="s">
        <v>354</v>
      </c>
      <c r="C165" s="464"/>
      <c r="D165" s="295" t="s">
        <v>351</v>
      </c>
      <c r="E165" s="299" t="s">
        <v>353</v>
      </c>
      <c r="F165" s="299" t="s">
        <v>357</v>
      </c>
      <c r="G165" s="457" t="s">
        <v>15</v>
      </c>
      <c r="H165" s="457"/>
      <c r="I165" s="457" t="s">
        <v>356</v>
      </c>
      <c r="J165" s="457"/>
      <c r="K165" s="457" t="s">
        <v>157</v>
      </c>
      <c r="L165" s="457"/>
      <c r="M165" s="457" t="s">
        <v>158</v>
      </c>
      <c r="N165" s="457"/>
      <c r="O165" s="457"/>
      <c r="P165" s="457" t="s">
        <v>159</v>
      </c>
      <c r="Q165" s="457"/>
      <c r="R165" s="457" t="s">
        <v>160</v>
      </c>
      <c r="S165" s="457"/>
      <c r="T165" s="116"/>
      <c r="U165" s="16"/>
    </row>
    <row r="166" spans="1:23" ht="14.1" customHeight="1">
      <c r="A166" s="20"/>
      <c r="B166" s="331">
        <f>E63</f>
        <v>10</v>
      </c>
      <c r="C166" s="332"/>
      <c r="D166" s="312">
        <v>0.7792</v>
      </c>
      <c r="E166" s="307">
        <f>E161*D166/0.746/B166</f>
        <v>0.85984463814512568</v>
      </c>
      <c r="F166" s="306">
        <f>G166+(E166-0.75)/(1-0.75)*(I166-G166)</f>
        <v>0.77954508526193211</v>
      </c>
      <c r="G166" s="465">
        <v>0.76900000000000002</v>
      </c>
      <c r="H166" s="465"/>
      <c r="I166" s="465">
        <v>0.79300000000000004</v>
      </c>
      <c r="J166" s="465"/>
      <c r="K166" s="466">
        <f>IF(E66&gt;10,0.02,IF(E66&gt;5,0.01,0))</f>
        <v>0</v>
      </c>
      <c r="L166" s="466"/>
      <c r="M166" s="466">
        <f>IF(L66&gt;2,0.025,IF(L66&gt;1,0.02,IF(L66&gt;0,0.01,0)))</f>
        <v>0</v>
      </c>
      <c r="N166" s="466"/>
      <c r="O166" s="466"/>
      <c r="P166" s="467">
        <f>M159*(0.07-1.334*M159)-0.0009</f>
        <v>-2.4433529046052633E-4</v>
      </c>
      <c r="Q166" s="467"/>
      <c r="R166" s="468">
        <f>1-G159*(0.0113+0.0073*G159)</f>
        <v>0.99990903789482455</v>
      </c>
      <c r="S166" s="468"/>
      <c r="T166" s="116"/>
      <c r="U166" s="16"/>
      <c r="W166" s="209"/>
    </row>
    <row r="167" spans="1:23" ht="3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3" ht="6.75" customHeight="1"/>
    <row r="169" spans="1:23" ht="14.1" customHeight="1">
      <c r="A169" s="347" t="s">
        <v>35</v>
      </c>
      <c r="B169" s="348"/>
      <c r="C169" s="348"/>
      <c r="D169" s="348"/>
      <c r="E169" s="348"/>
      <c r="F169" s="348"/>
      <c r="G169" s="348"/>
      <c r="H169" s="348"/>
      <c r="I169" s="348"/>
      <c r="J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9"/>
    </row>
    <row r="170" spans="1:23" ht="14.1" customHeight="1">
      <c r="A170" s="37"/>
      <c r="B170" s="1" t="s">
        <v>277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58"/>
    </row>
    <row r="171" spans="1:23" ht="14.1" customHeight="1">
      <c r="A171" s="37"/>
      <c r="B171" s="1"/>
      <c r="C171" s="275" t="s">
        <v>378</v>
      </c>
      <c r="D171" s="80"/>
      <c r="E171" s="80"/>
      <c r="F171" s="483">
        <f>R184</f>
        <v>0.12875286116354351</v>
      </c>
      <c r="G171" s="483"/>
      <c r="H171" s="290" t="s">
        <v>136</v>
      </c>
      <c r="K171" s="1"/>
      <c r="L171" s="377" t="s">
        <v>278</v>
      </c>
      <c r="M171" s="377"/>
      <c r="N171" s="377"/>
      <c r="O171" s="377"/>
      <c r="P171" s="80"/>
      <c r="Q171" s="484">
        <f>R185</f>
        <v>1.1119926318874827E-3</v>
      </c>
      <c r="R171" s="484"/>
      <c r="S171" s="484"/>
      <c r="T171" s="109" t="s">
        <v>136</v>
      </c>
      <c r="U171" s="58"/>
    </row>
    <row r="172" spans="1:23" ht="14.1" customHeight="1">
      <c r="A172" s="37"/>
      <c r="B172" s="1"/>
      <c r="C172" s="275" t="s">
        <v>379</v>
      </c>
      <c r="D172" s="80"/>
      <c r="E172" s="80"/>
      <c r="F172" s="492">
        <v>1000</v>
      </c>
      <c r="G172" s="492"/>
      <c r="H172" s="302" t="s">
        <v>336</v>
      </c>
      <c r="K172" s="1"/>
      <c r="L172" s="377" t="s">
        <v>279</v>
      </c>
      <c r="M172" s="377"/>
      <c r="N172" s="377"/>
      <c r="O172" s="377"/>
      <c r="P172" s="80"/>
      <c r="Q172" s="485">
        <f>F185</f>
        <v>0.5984211866564807</v>
      </c>
      <c r="R172" s="485"/>
      <c r="S172" s="485"/>
      <c r="T172" s="81" t="s">
        <v>143</v>
      </c>
      <c r="U172" s="58"/>
    </row>
    <row r="173" spans="1:23" ht="14.1" customHeight="1">
      <c r="A173" s="37"/>
      <c r="B173" s="1"/>
      <c r="C173" s="253" t="s">
        <v>380</v>
      </c>
      <c r="D173" s="1"/>
      <c r="E173" s="1"/>
      <c r="F173" s="493">
        <f>F171+Q171+I89+M114*10.3+R90</f>
        <v>46.919864853795431</v>
      </c>
      <c r="G173" s="493"/>
      <c r="H173" s="117" t="s">
        <v>252</v>
      </c>
      <c r="J173" s="1"/>
      <c r="K173" s="1"/>
      <c r="L173" s="377" t="s">
        <v>261</v>
      </c>
      <c r="M173" s="377"/>
      <c r="N173" s="377"/>
      <c r="O173" s="377"/>
      <c r="P173" s="80"/>
      <c r="Q173" s="486">
        <f>IFERROR((F173-I78)/I78,"N/D")</f>
        <v>1.1327211297179742</v>
      </c>
      <c r="R173" s="486"/>
      <c r="S173" s="486"/>
      <c r="T173" s="10"/>
      <c r="U173" s="58"/>
    </row>
    <row r="174" spans="1:23" ht="14.1" customHeight="1">
      <c r="A174" s="37"/>
      <c r="B174" s="84" t="s">
        <v>280</v>
      </c>
      <c r="C174" s="80"/>
      <c r="D174" s="8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58"/>
    </row>
    <row r="175" spans="1:23" ht="14.1" customHeight="1">
      <c r="A175" s="37"/>
      <c r="B175" s="80"/>
      <c r="C175" s="275" t="s">
        <v>318</v>
      </c>
      <c r="D175" s="80"/>
      <c r="F175" s="482">
        <f>P114/1000</f>
        <v>4.7000000000000002E-3</v>
      </c>
      <c r="G175" s="482"/>
      <c r="H175" s="303" t="s">
        <v>337</v>
      </c>
      <c r="I175" s="1"/>
      <c r="J175" s="1"/>
      <c r="L175" s="356" t="s">
        <v>281</v>
      </c>
      <c r="M175" s="356"/>
      <c r="N175" s="356"/>
      <c r="O175" s="356"/>
      <c r="P175" s="356"/>
      <c r="Q175" s="488">
        <f>IFERROR(((F175*1000)-N78)/N78,"N/D")</f>
        <v>-0.74744760881246641</v>
      </c>
      <c r="R175" s="488"/>
      <c r="S175" s="488"/>
      <c r="T175" s="3"/>
      <c r="U175" s="58"/>
    </row>
    <row r="176" spans="1:23" ht="14.1" customHeight="1">
      <c r="A176" s="37"/>
      <c r="B176" s="1" t="s">
        <v>282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58"/>
    </row>
    <row r="177" spans="1:22" ht="14.1" customHeight="1">
      <c r="A177" s="37"/>
      <c r="B177" s="1"/>
      <c r="C177" s="1" t="s">
        <v>283</v>
      </c>
      <c r="D177" s="1"/>
      <c r="F177" s="489">
        <f>IFERROR((N78/1000)*I78*9.81*F172/1000,"N/D")</f>
        <v>4.0164102000000002</v>
      </c>
      <c r="G177" s="489"/>
      <c r="H177" s="30" t="s">
        <v>130</v>
      </c>
      <c r="I177" s="80"/>
      <c r="J177" s="80"/>
      <c r="K177" s="80"/>
      <c r="L177" s="82" t="s">
        <v>284</v>
      </c>
      <c r="M177" s="210">
        <f>F175*F173*F172*9.81/1000</f>
        <v>2.163334208813946</v>
      </c>
      <c r="N177" s="130" t="s">
        <v>130</v>
      </c>
      <c r="O177" s="1"/>
      <c r="Q177" s="1"/>
      <c r="R177" s="124" t="s">
        <v>285</v>
      </c>
      <c r="S177" s="494">
        <f>IFERROR((M177-F177)/F177,"N/D")</f>
        <v>-0.46137617895354766</v>
      </c>
      <c r="T177" s="495"/>
      <c r="U177" s="58"/>
    </row>
    <row r="178" spans="1:22" ht="14.1" customHeight="1">
      <c r="A178" s="37"/>
      <c r="B178" s="1" t="s">
        <v>286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58"/>
    </row>
    <row r="179" spans="1:22" ht="14.1" customHeight="1">
      <c r="A179" s="37"/>
      <c r="B179" s="1"/>
      <c r="C179" s="487" t="s">
        <v>319</v>
      </c>
      <c r="D179" s="487"/>
      <c r="E179" s="487"/>
      <c r="F179" s="490">
        <f>M177/E161</f>
        <v>0.26279297219507819</v>
      </c>
      <c r="G179" s="490"/>
      <c r="H179" s="291"/>
      <c r="I179" s="42"/>
      <c r="J179" s="42"/>
      <c r="K179" s="1"/>
      <c r="L179" s="253" t="s">
        <v>377</v>
      </c>
      <c r="M179" s="1"/>
      <c r="N179" s="1"/>
      <c r="O179" s="1"/>
      <c r="P179" s="1"/>
      <c r="Q179" s="491">
        <f>F179/S162</f>
        <v>0.33724704946229017</v>
      </c>
      <c r="R179" s="491"/>
      <c r="S179" s="491"/>
      <c r="T179" s="292"/>
      <c r="U179" s="58"/>
    </row>
    <row r="180" spans="1:22" ht="9.75" customHeight="1">
      <c r="A180" s="37"/>
      <c r="B180" s="1"/>
      <c r="C180" s="1"/>
      <c r="D180" s="1"/>
      <c r="E180" s="1"/>
      <c r="F180" s="1"/>
      <c r="G180" s="144"/>
      <c r="H180" s="135"/>
      <c r="I180" s="135"/>
      <c r="J180" s="135"/>
      <c r="K180" s="1"/>
      <c r="L180" s="1"/>
      <c r="M180" s="1"/>
      <c r="N180" s="1"/>
      <c r="O180" s="1"/>
      <c r="P180" s="1"/>
      <c r="Q180" s="1"/>
      <c r="R180" s="145"/>
      <c r="S180" s="145"/>
      <c r="T180" s="118"/>
      <c r="U180" s="58"/>
    </row>
    <row r="181" spans="1:22" ht="14.1" customHeight="1">
      <c r="A181" s="37"/>
      <c r="B181" s="366" t="s">
        <v>161</v>
      </c>
      <c r="C181" s="366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412"/>
      <c r="T181" s="119"/>
      <c r="U181" s="58"/>
    </row>
    <row r="182" spans="1:22" ht="14.1" customHeight="1">
      <c r="A182" s="37"/>
      <c r="B182" s="478"/>
      <c r="C182" s="479"/>
      <c r="D182" s="126" t="s">
        <v>162</v>
      </c>
      <c r="E182" s="126" t="s">
        <v>133</v>
      </c>
      <c r="F182" s="126" t="s">
        <v>163</v>
      </c>
      <c r="G182" s="480" t="s">
        <v>164</v>
      </c>
      <c r="H182" s="480"/>
      <c r="I182" s="480" t="s">
        <v>154</v>
      </c>
      <c r="J182" s="480"/>
      <c r="K182" s="481" t="s">
        <v>358</v>
      </c>
      <c r="L182" s="480"/>
      <c r="M182" s="481" t="s">
        <v>359</v>
      </c>
      <c r="N182" s="480"/>
      <c r="O182" s="480"/>
      <c r="P182" s="480" t="s">
        <v>165</v>
      </c>
      <c r="Q182" s="480"/>
      <c r="R182" s="480" t="s">
        <v>166</v>
      </c>
      <c r="S182" s="496"/>
      <c r="T182" s="119"/>
      <c r="U182" s="58"/>
    </row>
    <row r="183" spans="1:22" ht="14.1" customHeight="1">
      <c r="A183" s="37"/>
      <c r="B183" s="341"/>
      <c r="C183" s="343"/>
      <c r="D183" s="304" t="s">
        <v>338</v>
      </c>
      <c r="E183" s="304" t="s">
        <v>339</v>
      </c>
      <c r="F183" s="126" t="s">
        <v>143</v>
      </c>
      <c r="G183" s="481" t="s">
        <v>340</v>
      </c>
      <c r="H183" s="480"/>
      <c r="I183" s="344"/>
      <c r="J183" s="344"/>
      <c r="K183" s="480" t="s">
        <v>155</v>
      </c>
      <c r="L183" s="480"/>
      <c r="M183" s="497"/>
      <c r="N183" s="437"/>
      <c r="O183" s="438"/>
      <c r="P183" s="344"/>
      <c r="Q183" s="344"/>
      <c r="R183" s="366" t="s">
        <v>156</v>
      </c>
      <c r="S183" s="412"/>
      <c r="T183" s="119"/>
      <c r="U183" s="58"/>
    </row>
    <row r="184" spans="1:22" ht="14.1" customHeight="1">
      <c r="A184" s="37"/>
      <c r="B184" s="512" t="s">
        <v>167</v>
      </c>
      <c r="C184" s="512"/>
      <c r="D184" s="236">
        <f>P113/1000</f>
        <v>4.7000000000000002E-3</v>
      </c>
      <c r="E184" s="237">
        <f>3.1416*POWER(F113,2)/4</f>
        <v>7.8540000000000016E-3</v>
      </c>
      <c r="F184" s="237">
        <f>D184/E184</f>
        <v>0.5984211866564807</v>
      </c>
      <c r="G184" s="513">
        <f>0.0000000004436712*K83^2-0.0000000432360819*K83+0.0000016939532563</f>
        <v>9.8165453560000002E-7</v>
      </c>
      <c r="H184" s="513"/>
      <c r="I184" s="504">
        <f>F184*(F113)/G184</f>
        <v>60960.466737997383</v>
      </c>
      <c r="J184" s="504"/>
      <c r="K184" s="382">
        <v>4.5999999999999999E-2</v>
      </c>
      <c r="L184" s="382"/>
      <c r="M184" s="506">
        <f>(K184/1000)/(F113)</f>
        <v>4.5999999999999996E-4</v>
      </c>
      <c r="N184" s="506"/>
      <c r="O184" s="506"/>
      <c r="P184" s="507">
        <f>0.25/(LOG(((M184/3.7)+5.74/(I184^0.9))))^2</f>
        <v>2.1758500344947838E-2</v>
      </c>
      <c r="Q184" s="507"/>
      <c r="R184" s="388">
        <f>P184*((I89)/(F113))*(F184*F184/19.62)</f>
        <v>0.12875286116354351</v>
      </c>
      <c r="S184" s="388"/>
      <c r="T184" s="119"/>
      <c r="U184" s="58"/>
    </row>
    <row r="185" spans="1:22" ht="14.1" customHeight="1">
      <c r="A185" s="37"/>
      <c r="B185" s="512" t="s">
        <v>168</v>
      </c>
      <c r="C185" s="512"/>
      <c r="D185" s="236">
        <f>P114/1000</f>
        <v>4.7000000000000002E-3</v>
      </c>
      <c r="E185" s="237">
        <f>3.1416*POWER(F114,2)/4</f>
        <v>7.8540000000000016E-3</v>
      </c>
      <c r="F185" s="237">
        <f>D185/E185</f>
        <v>0.5984211866564807</v>
      </c>
      <c r="G185" s="513">
        <f>0.0000000004436712*K83^2-0.0000000432360819*K83+0.0000016939532563</f>
        <v>9.8165453560000002E-7</v>
      </c>
      <c r="H185" s="513"/>
      <c r="I185" s="504">
        <f>F185*(F114)/G185</f>
        <v>60960.466737997383</v>
      </c>
      <c r="J185" s="504"/>
      <c r="K185" s="382">
        <v>4.5999999999999999E-2</v>
      </c>
      <c r="L185" s="382"/>
      <c r="M185" s="506">
        <f>(K185/1000)/(F114)</f>
        <v>4.5999999999999996E-4</v>
      </c>
      <c r="N185" s="506"/>
      <c r="O185" s="506"/>
      <c r="P185" s="507">
        <f>0.25/(LOG(((M185/3.7)+5.74/(I185^0.9))))^2</f>
        <v>2.1758500344947838E-2</v>
      </c>
      <c r="Q185" s="507"/>
      <c r="R185" s="388">
        <f>P185*((I90)/(F114))*(F185*F185/19.62)</f>
        <v>1.1119926318874827E-3</v>
      </c>
      <c r="S185" s="388"/>
      <c r="T185" s="119"/>
      <c r="U185" s="58"/>
    </row>
    <row r="186" spans="1:22" ht="3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4"/>
    </row>
    <row r="187" spans="1:22" ht="12.75" customHeight="1">
      <c r="C187" s="43"/>
    </row>
    <row r="188" spans="1:22" ht="15" customHeight="1">
      <c r="A188" s="347" t="s">
        <v>36</v>
      </c>
      <c r="B188" s="348"/>
      <c r="C188" s="348"/>
      <c r="D188" s="348"/>
      <c r="E188" s="348"/>
      <c r="F188" s="348"/>
      <c r="G188" s="348"/>
      <c r="H188" s="348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9"/>
      <c r="V188" s="120"/>
    </row>
    <row r="189" spans="1:22" ht="6.75" customHeight="1">
      <c r="A189" s="3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58"/>
    </row>
    <row r="190" spans="1:22" ht="15" customHeight="1">
      <c r="A190" s="37"/>
      <c r="B190" s="516" t="s">
        <v>287</v>
      </c>
      <c r="C190" s="516"/>
      <c r="D190" s="516"/>
      <c r="E190" s="517" t="s">
        <v>288</v>
      </c>
      <c r="F190" s="517"/>
      <c r="G190" s="517" t="s">
        <v>289</v>
      </c>
      <c r="H190" s="517"/>
      <c r="I190" s="51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58"/>
    </row>
    <row r="191" spans="1:22" ht="15" customHeight="1">
      <c r="A191" s="37"/>
      <c r="B191" s="518" t="s">
        <v>290</v>
      </c>
      <c r="C191" s="519"/>
      <c r="D191" s="519"/>
      <c r="E191" s="366" t="s">
        <v>46</v>
      </c>
      <c r="F191" s="344"/>
      <c r="G191" s="521">
        <f>(SUM(I125,M125,S125)+R152)*R66</f>
        <v>73650.942965597977</v>
      </c>
      <c r="H191" s="521"/>
      <c r="I191" s="52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58"/>
    </row>
    <row r="192" spans="1:22" ht="15" customHeight="1">
      <c r="A192" s="37"/>
      <c r="B192" s="518" t="s">
        <v>291</v>
      </c>
      <c r="C192" s="519"/>
      <c r="D192" s="519"/>
      <c r="E192" s="366" t="s">
        <v>169</v>
      </c>
      <c r="F192" s="344"/>
      <c r="G192" s="531">
        <f>S162</f>
        <v>0.77922986313468934</v>
      </c>
      <c r="H192" s="531"/>
      <c r="I192" s="53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58"/>
    </row>
    <row r="193" spans="1:24" ht="15" customHeight="1">
      <c r="A193" s="37"/>
      <c r="B193" s="518" t="s">
        <v>292</v>
      </c>
      <c r="C193" s="519"/>
      <c r="D193" s="519"/>
      <c r="E193" s="366" t="s">
        <v>169</v>
      </c>
      <c r="F193" s="344"/>
      <c r="G193" s="531">
        <f>Q179</f>
        <v>0.33724704946229017</v>
      </c>
      <c r="H193" s="531"/>
      <c r="I193" s="53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58"/>
    </row>
    <row r="194" spans="1:24" ht="15" customHeight="1">
      <c r="A194" s="37"/>
      <c r="B194" s="518" t="s">
        <v>293</v>
      </c>
      <c r="C194" s="519"/>
      <c r="D194" s="519"/>
      <c r="E194" s="366" t="s">
        <v>169</v>
      </c>
      <c r="F194" s="366"/>
      <c r="G194" s="520">
        <v>0.4</v>
      </c>
      <c r="H194" s="520"/>
      <c r="I194" s="52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58"/>
    </row>
    <row r="195" spans="1:24" ht="15" customHeight="1">
      <c r="A195" s="37"/>
      <c r="B195" s="518" t="s">
        <v>294</v>
      </c>
      <c r="C195" s="519"/>
      <c r="D195" s="519"/>
      <c r="E195" s="392" t="s">
        <v>381</v>
      </c>
      <c r="F195" s="366"/>
      <c r="G195" s="521">
        <f>((J117-J116)+I89+R90)</f>
        <v>35.4</v>
      </c>
      <c r="H195" s="521"/>
      <c r="I195" s="52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58"/>
    </row>
    <row r="196" spans="1:24" ht="15" customHeight="1">
      <c r="A196" s="37"/>
      <c r="B196" s="518" t="s">
        <v>295</v>
      </c>
      <c r="C196" s="519"/>
      <c r="D196" s="519"/>
      <c r="E196" s="366" t="s">
        <v>46</v>
      </c>
      <c r="F196" s="344"/>
      <c r="G196" s="530">
        <f>S152+S153</f>
        <v>1537.8742221063203</v>
      </c>
      <c r="H196" s="530"/>
      <c r="I196" s="53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58"/>
    </row>
    <row r="197" spans="1:24" ht="15" customHeight="1">
      <c r="A197" s="37"/>
      <c r="B197" s="518" t="s">
        <v>296</v>
      </c>
      <c r="C197" s="519"/>
      <c r="D197" s="519"/>
      <c r="E197" s="366" t="s">
        <v>46</v>
      </c>
      <c r="F197" s="344"/>
      <c r="G197" s="521">
        <f>(1-S162)*E161*R66</f>
        <v>15920.412056278212</v>
      </c>
      <c r="H197" s="532"/>
      <c r="I197" s="53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58"/>
    </row>
    <row r="198" spans="1:24" ht="15" customHeight="1">
      <c r="A198" s="37"/>
      <c r="B198" s="518" t="s">
        <v>297</v>
      </c>
      <c r="C198" s="519"/>
      <c r="D198" s="519"/>
      <c r="E198" s="366" t="s">
        <v>46</v>
      </c>
      <c r="F198" s="344"/>
      <c r="G198" s="521">
        <f>(1-Q179)*(G191-G196-G197)</f>
        <v>37241.84901800329</v>
      </c>
      <c r="H198" s="532"/>
      <c r="I198" s="53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58"/>
    </row>
    <row r="199" spans="1:24" s="252" customFormat="1" ht="28.5" customHeight="1">
      <c r="A199" s="249"/>
      <c r="B199" s="525" t="s">
        <v>39</v>
      </c>
      <c r="C199" s="526"/>
      <c r="D199" s="527"/>
      <c r="E199" s="528" t="s">
        <v>46</v>
      </c>
      <c r="F199" s="529"/>
      <c r="G199" s="530">
        <f>(F171*F172*F175*9.81*R66/1000)+(Q171*F172*F175*9.81*R66/1000)</f>
        <v>52.452066410166417</v>
      </c>
      <c r="H199" s="530"/>
      <c r="I199" s="53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  <c r="U199" s="251"/>
    </row>
    <row r="200" spans="1:24" ht="15" customHeight="1">
      <c r="A200" s="37"/>
      <c r="B200" s="519" t="s">
        <v>118</v>
      </c>
      <c r="C200" s="519"/>
      <c r="D200" s="519"/>
      <c r="E200" s="366" t="s">
        <v>46</v>
      </c>
      <c r="F200" s="344"/>
      <c r="G200" s="534">
        <f>(F173-G195)*F175*F172*9.81*R66/1000</f>
        <v>4652.8425412101678</v>
      </c>
      <c r="H200" s="535"/>
      <c r="I200" s="53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58"/>
      <c r="X200" s="146"/>
    </row>
    <row r="201" spans="1:24" ht="15" customHeight="1">
      <c r="A201" s="37"/>
      <c r="B201" s="537" t="s">
        <v>293</v>
      </c>
      <c r="C201" s="519"/>
      <c r="D201" s="519"/>
      <c r="E201" s="366" t="s">
        <v>46</v>
      </c>
      <c r="F201" s="344"/>
      <c r="G201" s="521">
        <f>(G191-SUM(G196:I200))*G194</f>
        <v>5698.2052246359299</v>
      </c>
      <c r="H201" s="532"/>
      <c r="I201" s="53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58"/>
    </row>
    <row r="202" spans="1:24" ht="15" customHeight="1">
      <c r="A202" s="37"/>
      <c r="B202" s="537" t="s">
        <v>298</v>
      </c>
      <c r="C202" s="519"/>
      <c r="D202" s="519"/>
      <c r="E202" s="366" t="s">
        <v>46</v>
      </c>
      <c r="F202" s="344"/>
      <c r="G202" s="521">
        <f>G191-SUM(G196:I201)</f>
        <v>8547.3078369538925</v>
      </c>
      <c r="H202" s="532"/>
      <c r="I202" s="53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58"/>
    </row>
    <row r="203" spans="1:24" ht="6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4"/>
    </row>
    <row r="204" spans="1:24" ht="8.1" customHeight="1"/>
    <row r="205" spans="1:24" ht="14.25" customHeight="1">
      <c r="A205" s="417" t="s">
        <v>104</v>
      </c>
      <c r="B205" s="418"/>
      <c r="C205" s="418"/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9"/>
    </row>
    <row r="206" spans="1:24" ht="9" customHeight="1">
      <c r="A206" s="3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58"/>
    </row>
    <row r="207" spans="1:24" ht="12" customHeight="1">
      <c r="A207" s="37"/>
      <c r="B207" s="1"/>
      <c r="C207" s="238" t="s">
        <v>171</v>
      </c>
      <c r="D207" s="542" t="s">
        <v>105</v>
      </c>
      <c r="E207" s="542"/>
      <c r="F207" s="542"/>
      <c r="G207" s="542"/>
      <c r="H207" s="542"/>
      <c r="I207" s="542"/>
      <c r="J207" s="542"/>
      <c r="K207" s="542"/>
      <c r="L207" s="542"/>
      <c r="M207" s="542"/>
      <c r="N207" s="542"/>
      <c r="O207" s="542"/>
      <c r="P207" s="542"/>
      <c r="Q207" s="542"/>
      <c r="R207" s="542"/>
      <c r="S207" s="542"/>
      <c r="T207" s="542"/>
      <c r="U207" s="58"/>
    </row>
    <row r="208" spans="1:24">
      <c r="A208" s="37"/>
      <c r="B208" s="1"/>
      <c r="C208" s="243" t="s">
        <v>172</v>
      </c>
      <c r="D208" s="543" t="s">
        <v>32</v>
      </c>
      <c r="E208" s="543"/>
      <c r="F208" s="543"/>
      <c r="G208" s="543"/>
      <c r="H208" s="543"/>
      <c r="I208" s="543"/>
      <c r="J208" s="543"/>
      <c r="K208" s="543"/>
      <c r="L208" s="543"/>
      <c r="M208" s="543"/>
      <c r="N208" s="543"/>
      <c r="O208" s="543"/>
      <c r="P208" s="543"/>
      <c r="Q208" s="543"/>
      <c r="R208" s="543"/>
      <c r="S208" s="543"/>
      <c r="T208" s="543"/>
      <c r="U208" s="58"/>
    </row>
    <row r="209" spans="1:26" ht="25.5" customHeight="1">
      <c r="A209" s="37"/>
      <c r="B209" s="1"/>
      <c r="C209" s="238" t="s">
        <v>173</v>
      </c>
      <c r="D209" s="540" t="s">
        <v>0</v>
      </c>
      <c r="E209" s="540"/>
      <c r="F209" s="540"/>
      <c r="G209" s="540"/>
      <c r="H209" s="540"/>
      <c r="I209" s="540"/>
      <c r="J209" s="540"/>
      <c r="K209" s="540"/>
      <c r="L209" s="540"/>
      <c r="M209" s="540"/>
      <c r="N209" s="540"/>
      <c r="O209" s="540"/>
      <c r="P209" s="540"/>
      <c r="Q209" s="540"/>
      <c r="R209" s="540"/>
      <c r="S209" s="540"/>
      <c r="T209" s="540"/>
      <c r="U209" s="58"/>
    </row>
    <row r="210" spans="1:26">
      <c r="A210" s="37"/>
      <c r="B210" s="1"/>
      <c r="C210" s="238" t="s">
        <v>174</v>
      </c>
      <c r="D210" s="541" t="s">
        <v>106</v>
      </c>
      <c r="E210" s="541"/>
      <c r="F210" s="541"/>
      <c r="G210" s="541"/>
      <c r="H210" s="541"/>
      <c r="I210" s="541"/>
      <c r="J210" s="541"/>
      <c r="K210" s="541"/>
      <c r="L210" s="541"/>
      <c r="M210" s="541"/>
      <c r="N210" s="541"/>
      <c r="O210" s="541"/>
      <c r="P210" s="541"/>
      <c r="Q210" s="541"/>
      <c r="R210" s="541"/>
      <c r="S210" s="541"/>
      <c r="T210" s="541"/>
      <c r="U210" s="58"/>
    </row>
    <row r="211" spans="1:26" ht="17.25" customHeight="1">
      <c r="A211" s="2"/>
      <c r="B211" s="3"/>
      <c r="C211" s="239" t="s">
        <v>175</v>
      </c>
      <c r="D211" s="503" t="s">
        <v>1</v>
      </c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4"/>
      <c r="Z211" s="178"/>
    </row>
    <row r="212" spans="1:26">
      <c r="R212" s="393" t="s">
        <v>128</v>
      </c>
      <c r="S212" s="538"/>
      <c r="T212" s="538"/>
    </row>
    <row r="213" spans="1:26">
      <c r="A213" s="417" t="s">
        <v>58</v>
      </c>
      <c r="B213" s="418"/>
      <c r="C213" s="418"/>
      <c r="D213" s="418"/>
      <c r="E213" s="418"/>
      <c r="F213" s="418"/>
      <c r="G213" s="418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  <c r="T213" s="418"/>
      <c r="U213" s="419"/>
    </row>
    <row r="214" spans="1:26" ht="7.5" customHeight="1">
      <c r="A214" s="3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58"/>
    </row>
    <row r="215" spans="1:26" ht="25.5" customHeight="1">
      <c r="A215" s="37"/>
      <c r="B215" s="1"/>
      <c r="C215" s="238" t="s">
        <v>320</v>
      </c>
      <c r="D215" s="539" t="s">
        <v>326</v>
      </c>
      <c r="E215" s="540"/>
      <c r="F215" s="540"/>
      <c r="G215" s="540"/>
      <c r="H215" s="540"/>
      <c r="I215" s="540"/>
      <c r="J215" s="540"/>
      <c r="K215" s="540"/>
      <c r="L215" s="540"/>
      <c r="M215" s="540"/>
      <c r="N215" s="540"/>
      <c r="O215" s="540"/>
      <c r="P215" s="540"/>
      <c r="Q215" s="540"/>
      <c r="R215" s="540"/>
      <c r="S215" s="540"/>
      <c r="T215" s="540"/>
      <c r="U215" s="148"/>
      <c r="V215" s="147"/>
      <c r="W215" s="147"/>
    </row>
    <row r="216" spans="1:26">
      <c r="A216" s="37"/>
      <c r="B216" s="1"/>
      <c r="C216" s="238" t="s">
        <v>321</v>
      </c>
      <c r="D216" s="240" t="s">
        <v>60</v>
      </c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58"/>
    </row>
    <row r="217" spans="1:26" ht="5.25" customHeight="1">
      <c r="A217" s="2"/>
      <c r="B217" s="3"/>
      <c r="C217" s="180"/>
      <c r="D217" s="180"/>
      <c r="E217" s="180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4"/>
    </row>
    <row r="218" spans="1:26">
      <c r="A218" s="1"/>
      <c r="B218" s="1"/>
      <c r="C218" s="161"/>
      <c r="D218" s="161"/>
      <c r="E218" s="161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"/>
    </row>
    <row r="219" spans="1:26">
      <c r="A219" s="417" t="s">
        <v>62</v>
      </c>
      <c r="B219" s="418"/>
      <c r="C219" s="418"/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  <c r="T219" s="418"/>
      <c r="U219" s="419"/>
    </row>
    <row r="220" spans="1:26" ht="9" customHeight="1">
      <c r="A220" s="3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58"/>
    </row>
    <row r="221" spans="1:26" ht="12.75" customHeight="1">
      <c r="A221" s="37"/>
      <c r="B221" s="1"/>
      <c r="C221" s="544" t="s">
        <v>371</v>
      </c>
      <c r="D221" s="544"/>
      <c r="E221" s="544"/>
      <c r="F221" s="321"/>
      <c r="G221" s="505" t="s">
        <v>262</v>
      </c>
      <c r="H221" s="505"/>
      <c r="I221" s="505"/>
      <c r="J221" s="322"/>
      <c r="K221" s="322"/>
      <c r="L221" s="240" t="s">
        <v>182</v>
      </c>
      <c r="M221" s="240"/>
      <c r="N221" s="240"/>
      <c r="O221" s="240"/>
      <c r="P221" s="240"/>
      <c r="T221" s="63"/>
      <c r="U221" s="58"/>
      <c r="W221" s="533" t="s">
        <v>128</v>
      </c>
    </row>
    <row r="222" spans="1:26" ht="12.75" customHeight="1">
      <c r="A222" s="37"/>
      <c r="B222" s="1"/>
      <c r="C222" s="323"/>
      <c r="D222" s="324"/>
      <c r="E222" s="324"/>
      <c r="F222" s="170"/>
      <c r="G222" s="505" t="s">
        <v>245</v>
      </c>
      <c r="H222" s="505"/>
      <c r="I222" s="505"/>
      <c r="J222" s="322"/>
      <c r="K222" s="322"/>
      <c r="L222" s="240" t="s">
        <v>124</v>
      </c>
      <c r="M222" s="240"/>
      <c r="N222" s="240"/>
      <c r="O222" s="240"/>
      <c r="P222" s="240"/>
      <c r="T222" s="63"/>
      <c r="U222" s="58"/>
      <c r="W222" s="533"/>
    </row>
    <row r="223" spans="1:26" ht="12.75" customHeight="1">
      <c r="A223" s="37"/>
      <c r="B223" s="1"/>
      <c r="C223" s="323"/>
      <c r="D223" s="324"/>
      <c r="E223" s="324"/>
      <c r="F223" s="170"/>
      <c r="G223" s="508" t="s">
        <v>360</v>
      </c>
      <c r="H223" s="505"/>
      <c r="I223" s="505"/>
      <c r="J223" s="322"/>
      <c r="K223" s="322"/>
      <c r="L223" s="240">
        <v>0.73499999999999999</v>
      </c>
      <c r="M223" s="240"/>
      <c r="N223" s="240"/>
      <c r="O223" s="240"/>
      <c r="P223" s="240"/>
      <c r="T223" s="63"/>
      <c r="U223" s="58"/>
      <c r="W223" s="533"/>
    </row>
    <row r="224" spans="1:26">
      <c r="A224" s="37"/>
      <c r="B224" s="1"/>
      <c r="C224" s="323"/>
      <c r="D224" s="324"/>
      <c r="E224" s="324"/>
      <c r="F224" s="170"/>
      <c r="G224" s="325"/>
      <c r="H224" s="326"/>
      <c r="I224" s="326"/>
      <c r="J224" s="326"/>
      <c r="K224" s="326"/>
      <c r="L224" s="326"/>
      <c r="M224" s="326"/>
      <c r="N224" s="326"/>
      <c r="O224" s="326"/>
      <c r="P224" s="326"/>
      <c r="Q224" s="183"/>
      <c r="R224" s="183"/>
      <c r="S224" s="63"/>
      <c r="T224" s="63"/>
      <c r="U224" s="58"/>
      <c r="W224" s="533"/>
    </row>
    <row r="225" spans="1:23" ht="12.75" customHeight="1">
      <c r="A225" s="37"/>
      <c r="B225" s="1"/>
      <c r="C225" s="327" t="s">
        <v>372</v>
      </c>
      <c r="D225" s="324"/>
      <c r="E225" s="324"/>
      <c r="F225" s="170"/>
      <c r="G225" s="508" t="s">
        <v>361</v>
      </c>
      <c r="H225" s="509"/>
      <c r="I225" s="509"/>
      <c r="J225" s="167"/>
      <c r="K225" s="167"/>
      <c r="L225" s="240">
        <f>F254</f>
        <v>5</v>
      </c>
      <c r="M225" s="167" t="s">
        <v>126</v>
      </c>
      <c r="N225" s="167"/>
      <c r="O225" s="167"/>
      <c r="P225" s="167"/>
      <c r="S225" s="63"/>
      <c r="T225" s="63"/>
      <c r="U225" s="58"/>
      <c r="W225" s="533"/>
    </row>
    <row r="226" spans="1:23" ht="12.75" customHeight="1">
      <c r="A226" s="37"/>
      <c r="B226" s="1"/>
      <c r="C226" s="323"/>
      <c r="D226" s="324"/>
      <c r="E226" s="324"/>
      <c r="F226" s="170"/>
      <c r="G226" s="508" t="s">
        <v>362</v>
      </c>
      <c r="H226" s="509"/>
      <c r="I226" s="509"/>
      <c r="J226" s="316"/>
      <c r="K226" s="316"/>
      <c r="L226" s="240">
        <v>440</v>
      </c>
      <c r="M226" s="43" t="s">
        <v>127</v>
      </c>
      <c r="N226" s="316"/>
      <c r="O226" s="316"/>
      <c r="P226" s="316"/>
      <c r="S226" s="167"/>
      <c r="T226" s="167"/>
      <c r="U226" s="58"/>
      <c r="W226" s="533"/>
    </row>
    <row r="227" spans="1:23" ht="12.75" customHeight="1">
      <c r="A227" s="37"/>
      <c r="B227" s="1"/>
      <c r="C227" s="323"/>
      <c r="D227" s="324"/>
      <c r="E227" s="324"/>
      <c r="F227" s="170"/>
      <c r="G227" s="508" t="s">
        <v>363</v>
      </c>
      <c r="H227" s="508"/>
      <c r="I227" s="508"/>
      <c r="J227" s="508"/>
      <c r="K227" s="316"/>
      <c r="L227" s="240">
        <v>76.8</v>
      </c>
      <c r="M227" s="43" t="s">
        <v>169</v>
      </c>
      <c r="N227" s="316"/>
      <c r="O227" s="316"/>
      <c r="P227" s="316"/>
      <c r="S227" s="167"/>
      <c r="T227" s="167"/>
      <c r="U227" s="58"/>
      <c r="W227" s="154"/>
    </row>
    <row r="228" spans="1:23" ht="12.75" customHeight="1">
      <c r="A228" s="37"/>
      <c r="B228" s="1"/>
      <c r="C228" s="323"/>
      <c r="D228" s="324"/>
      <c r="E228" s="324"/>
      <c r="F228" s="170"/>
      <c r="G228" s="508" t="s">
        <v>322</v>
      </c>
      <c r="H228" s="508"/>
      <c r="I228" s="508"/>
      <c r="J228" s="508"/>
      <c r="K228" s="316"/>
      <c r="L228" s="240">
        <v>2</v>
      </c>
      <c r="M228" s="43"/>
      <c r="N228" s="316"/>
      <c r="O228" s="316"/>
      <c r="P228" s="316"/>
      <c r="S228" s="167"/>
      <c r="T228" s="167"/>
      <c r="U228" s="58"/>
      <c r="W228" s="154"/>
    </row>
    <row r="229" spans="1:23" ht="12.75" customHeight="1">
      <c r="A229" s="37"/>
      <c r="B229" s="1"/>
      <c r="C229" s="323"/>
      <c r="D229" s="324"/>
      <c r="E229" s="324"/>
      <c r="F229" s="170"/>
      <c r="G229" s="508" t="s">
        <v>323</v>
      </c>
      <c r="H229" s="508"/>
      <c r="I229" s="508"/>
      <c r="J229" s="508"/>
      <c r="K229" s="316"/>
      <c r="L229" s="240">
        <v>3500</v>
      </c>
      <c r="M229" s="43" t="s">
        <v>109</v>
      </c>
      <c r="N229" s="316"/>
      <c r="O229" s="316"/>
      <c r="P229" s="316"/>
      <c r="S229" s="167"/>
      <c r="T229" s="167"/>
      <c r="U229" s="58"/>
      <c r="W229" s="154"/>
    </row>
    <row r="230" spans="1:23" ht="12.75" customHeight="1">
      <c r="A230" s="37"/>
      <c r="B230" s="1"/>
      <c r="C230" s="323"/>
      <c r="D230" s="324"/>
      <c r="E230" s="324"/>
      <c r="F230" s="170"/>
      <c r="G230" s="43"/>
      <c r="H230" s="316"/>
      <c r="I230" s="316"/>
      <c r="J230" s="316"/>
      <c r="K230" s="316"/>
      <c r="L230" s="316"/>
      <c r="M230" s="316"/>
      <c r="N230" s="316"/>
      <c r="O230" s="316"/>
      <c r="P230" s="316"/>
      <c r="R230" s="44"/>
      <c r="S230" s="167"/>
      <c r="T230" s="167"/>
      <c r="U230" s="58"/>
      <c r="W230" s="154"/>
    </row>
    <row r="231" spans="1:23" ht="12.75" customHeight="1">
      <c r="A231" s="37"/>
      <c r="B231" s="1"/>
      <c r="C231" s="323"/>
      <c r="D231" s="324"/>
      <c r="E231" s="324"/>
      <c r="F231" s="170"/>
      <c r="G231" s="508" t="s">
        <v>324</v>
      </c>
      <c r="H231" s="508"/>
      <c r="I231" s="508"/>
      <c r="J231" s="508"/>
      <c r="K231" s="508"/>
      <c r="L231" s="329">
        <f>L223*H254</f>
        <v>0.54564865908910798</v>
      </c>
      <c r="M231" s="329"/>
      <c r="N231" s="328"/>
      <c r="O231" s="508"/>
      <c r="P231" s="508"/>
      <c r="S231" s="167"/>
      <c r="T231" s="167"/>
      <c r="U231" s="58"/>
      <c r="W231" s="154"/>
    </row>
    <row r="232" spans="1:23" ht="12.75" customHeight="1">
      <c r="A232" s="37"/>
      <c r="B232" s="1"/>
      <c r="C232" s="323"/>
      <c r="D232" s="324"/>
      <c r="E232" s="324"/>
      <c r="F232" s="170"/>
      <c r="G232" s="43"/>
      <c r="H232" s="316"/>
      <c r="I232" s="316"/>
      <c r="J232" s="316"/>
      <c r="K232" s="316"/>
      <c r="L232" s="316"/>
      <c r="M232" s="316"/>
      <c r="N232" s="316"/>
      <c r="O232" s="316"/>
      <c r="P232" s="316"/>
      <c r="R232" s="44"/>
      <c r="S232" s="167"/>
      <c r="T232" s="167"/>
      <c r="U232" s="58"/>
      <c r="W232" s="154"/>
    </row>
    <row r="233" spans="1:23" ht="12.75" customHeight="1">
      <c r="A233" s="37"/>
      <c r="B233" s="1"/>
      <c r="C233" s="327" t="s">
        <v>373</v>
      </c>
      <c r="D233" s="324"/>
      <c r="E233" s="324"/>
      <c r="F233" s="170"/>
      <c r="G233" s="508" t="s">
        <v>212</v>
      </c>
      <c r="H233" s="508"/>
      <c r="I233" s="508"/>
      <c r="J233" s="508"/>
      <c r="K233" s="508"/>
      <c r="L233" s="330">
        <f>G263*0.473</f>
        <v>1.8753039409593635</v>
      </c>
      <c r="M233" s="305" t="s">
        <v>341</v>
      </c>
      <c r="N233" s="328"/>
      <c r="O233" s="328"/>
      <c r="P233" s="328"/>
      <c r="S233" s="170"/>
      <c r="T233" s="170"/>
      <c r="U233" s="58"/>
    </row>
    <row r="234" spans="1:23" ht="14.25" customHeight="1">
      <c r="A234" s="37"/>
      <c r="B234" s="1"/>
      <c r="C234" s="327"/>
      <c r="D234" s="324"/>
      <c r="E234" s="324"/>
      <c r="F234" s="170"/>
      <c r="G234" s="508" t="s">
        <v>362</v>
      </c>
      <c r="H234" s="508"/>
      <c r="I234" s="508"/>
      <c r="J234" s="508"/>
      <c r="K234" s="177"/>
      <c r="L234" s="330">
        <v>440</v>
      </c>
      <c r="M234" s="169" t="s">
        <v>127</v>
      </c>
      <c r="N234" s="177"/>
      <c r="O234" s="177"/>
      <c r="P234" s="177"/>
      <c r="S234" s="170"/>
      <c r="T234" s="170"/>
      <c r="U234" s="58"/>
    </row>
    <row r="235" spans="1:23" ht="9" customHeight="1">
      <c r="A235" s="2"/>
      <c r="B235" s="3"/>
      <c r="C235" s="171"/>
      <c r="D235" s="172"/>
      <c r="E235" s="172"/>
      <c r="F235" s="68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4"/>
      <c r="R235" s="175"/>
      <c r="S235" s="176"/>
      <c r="T235" s="176"/>
      <c r="U235" s="4"/>
    </row>
    <row r="236" spans="1:23">
      <c r="C236" s="49"/>
      <c r="D236" s="50"/>
      <c r="E236" s="50"/>
      <c r="F236" s="56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87"/>
      <c r="R236" s="88"/>
      <c r="S236" s="54"/>
      <c r="T236" s="54"/>
    </row>
    <row r="237" spans="1:23">
      <c r="A237" s="417" t="s">
        <v>111</v>
      </c>
      <c r="B237" s="418"/>
      <c r="C237" s="418"/>
      <c r="D237" s="418"/>
      <c r="E237" s="418"/>
      <c r="F237" s="418"/>
      <c r="G237" s="418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  <c r="T237" s="418"/>
      <c r="U237" s="419"/>
    </row>
    <row r="238" spans="1:23" ht="7.5" customHeight="1">
      <c r="A238" s="37"/>
      <c r="B238" s="1"/>
      <c r="C238" s="164"/>
      <c r="D238" s="165"/>
      <c r="E238" s="165"/>
      <c r="F238" s="63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68"/>
      <c r="R238" s="169"/>
      <c r="S238" s="170"/>
      <c r="T238" s="170"/>
      <c r="U238" s="58"/>
    </row>
    <row r="239" spans="1:23" ht="12.75" customHeight="1">
      <c r="A239" s="37"/>
      <c r="B239" s="1"/>
      <c r="C239" s="160" t="s">
        <v>107</v>
      </c>
      <c r="D239" s="163"/>
      <c r="E239" s="163"/>
      <c r="F239" s="293" t="s">
        <v>176</v>
      </c>
      <c r="G239" s="542" t="s">
        <v>41</v>
      </c>
      <c r="H239" s="542"/>
      <c r="I239" s="542"/>
      <c r="J239" s="542"/>
      <c r="K239" s="542"/>
      <c r="L239" s="542"/>
      <c r="M239" s="542"/>
      <c r="N239" s="542"/>
      <c r="O239" s="542"/>
      <c r="P239" s="542"/>
      <c r="Q239" s="542"/>
      <c r="R239" s="542"/>
      <c r="S239" s="542"/>
      <c r="T239" s="542"/>
      <c r="U239" s="58"/>
    </row>
    <row r="240" spans="1:23" ht="15.75" customHeight="1">
      <c r="A240" s="37"/>
      <c r="B240" s="1"/>
      <c r="C240" s="164"/>
      <c r="D240" s="165"/>
      <c r="E240" s="165"/>
      <c r="F240" s="293" t="s">
        <v>177</v>
      </c>
      <c r="G240" s="557" t="s">
        <v>184</v>
      </c>
      <c r="H240" s="557"/>
      <c r="I240" s="557"/>
      <c r="J240" s="557"/>
      <c r="K240" s="557"/>
      <c r="L240" s="557"/>
      <c r="M240" s="557"/>
      <c r="N240" s="557"/>
      <c r="O240" s="557"/>
      <c r="P240" s="557"/>
      <c r="Q240" s="557"/>
      <c r="R240" s="557"/>
      <c r="S240" s="557"/>
      <c r="T240" s="557"/>
      <c r="U240" s="58"/>
    </row>
    <row r="241" spans="1:22" ht="12.75" customHeight="1">
      <c r="A241" s="37"/>
      <c r="B241" s="1"/>
      <c r="C241" s="164"/>
      <c r="D241" s="165"/>
      <c r="E241" s="165"/>
      <c r="F241" s="293" t="s">
        <v>181</v>
      </c>
      <c r="G241" s="556" t="s">
        <v>325</v>
      </c>
      <c r="H241" s="542"/>
      <c r="I241" s="542"/>
      <c r="J241" s="542"/>
      <c r="K241" s="542"/>
      <c r="L241" s="542"/>
      <c r="M241" s="542"/>
      <c r="N241" s="542"/>
      <c r="O241" s="542"/>
      <c r="P241" s="542"/>
      <c r="Q241" s="542"/>
      <c r="R241" s="542"/>
      <c r="S241" s="542"/>
      <c r="T241" s="542"/>
      <c r="U241" s="58"/>
    </row>
    <row r="242" spans="1:22" ht="12.75" customHeight="1">
      <c r="A242" s="37"/>
      <c r="B242" s="1"/>
      <c r="C242" s="159"/>
      <c r="D242" s="1"/>
      <c r="E242" s="1"/>
      <c r="F242" s="293" t="s">
        <v>81</v>
      </c>
      <c r="G242" s="294" t="s">
        <v>45</v>
      </c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58"/>
    </row>
    <row r="243" spans="1:22" ht="6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4"/>
    </row>
    <row r="244" spans="1:22" ht="12.75" customHeight="1">
      <c r="C244" s="48"/>
      <c r="D244" s="139"/>
      <c r="E244" s="139"/>
      <c r="F244" s="139"/>
      <c r="G244" s="139"/>
      <c r="H244" s="139"/>
      <c r="I244" s="139"/>
      <c r="J244" s="56"/>
      <c r="K244" s="56"/>
      <c r="L244" s="56"/>
      <c r="M244" s="56"/>
      <c r="N244" s="56"/>
      <c r="O244" s="56"/>
      <c r="P244" s="56"/>
      <c r="Q244" s="56"/>
      <c r="R244" s="56"/>
      <c r="S244" s="72"/>
      <c r="T244" s="72"/>
    </row>
    <row r="245" spans="1:22" ht="12.75" customHeight="1">
      <c r="A245" s="417" t="s">
        <v>113</v>
      </c>
      <c r="B245" s="418"/>
      <c r="C245" s="418"/>
      <c r="D245" s="418"/>
      <c r="E245" s="418"/>
      <c r="F245" s="418"/>
      <c r="G245" s="418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  <c r="T245" s="418"/>
      <c r="U245" s="419"/>
    </row>
    <row r="246" spans="1:22" ht="12.75" customHeight="1">
      <c r="A246" s="37"/>
      <c r="B246" s="552" t="s">
        <v>376</v>
      </c>
      <c r="C246" s="553"/>
      <c r="D246" s="553"/>
      <c r="E246" s="553"/>
      <c r="F246" s="553"/>
      <c r="G246" s="426" t="s">
        <v>84</v>
      </c>
      <c r="H246" s="408" t="s">
        <v>102</v>
      </c>
      <c r="I246" s="427"/>
      <c r="J246" s="408" t="s">
        <v>263</v>
      </c>
      <c r="K246" s="408"/>
      <c r="L246" s="408"/>
      <c r="M246" s="408"/>
      <c r="N246" s="409" t="s">
        <v>83</v>
      </c>
      <c r="O246" s="409"/>
      <c r="P246" s="409"/>
      <c r="Q246" s="121" t="s">
        <v>314</v>
      </c>
      <c r="R246" s="409" t="s">
        <v>264</v>
      </c>
      <c r="S246" s="409"/>
      <c r="T246" s="409"/>
      <c r="U246" s="58"/>
    </row>
    <row r="247" spans="1:22" ht="12.75" customHeight="1">
      <c r="A247" s="37"/>
      <c r="B247" s="554"/>
      <c r="C247" s="554"/>
      <c r="D247" s="554"/>
      <c r="E247" s="554"/>
      <c r="F247" s="554"/>
      <c r="G247" s="400"/>
      <c r="H247" s="366" t="s">
        <v>136</v>
      </c>
      <c r="I247" s="344"/>
      <c r="J247" s="412" t="s">
        <v>152</v>
      </c>
      <c r="K247" s="413"/>
      <c r="L247" s="412" t="s">
        <v>144</v>
      </c>
      <c r="M247" s="413"/>
      <c r="N247" s="414" t="s">
        <v>133</v>
      </c>
      <c r="O247" s="414"/>
      <c r="P247" s="414"/>
      <c r="Q247" s="151" t="s">
        <v>265</v>
      </c>
      <c r="R247" s="151" t="s">
        <v>130</v>
      </c>
      <c r="S247" s="414" t="s">
        <v>266</v>
      </c>
      <c r="T247" s="414"/>
      <c r="U247" s="58"/>
    </row>
    <row r="248" spans="1:22" ht="12.75" customHeight="1">
      <c r="A248" s="37"/>
      <c r="B248" s="433" t="s">
        <v>267</v>
      </c>
      <c r="C248" s="434"/>
      <c r="D248" s="413" t="s">
        <v>268</v>
      </c>
      <c r="E248" s="437"/>
      <c r="F248" s="438"/>
      <c r="G248" s="234" t="s">
        <v>82</v>
      </c>
      <c r="H248" s="439">
        <f>S51</f>
        <v>15</v>
      </c>
      <c r="I248" s="440"/>
      <c r="J248" s="441">
        <v>2.1</v>
      </c>
      <c r="K248" s="442"/>
      <c r="L248" s="430">
        <f>J248*H248/1000</f>
        <v>3.15E-2</v>
      </c>
      <c r="M248" s="430"/>
      <c r="N248" s="431">
        <f>G263*1000/(1.732*E159*0.95)</f>
        <v>5.4102524879438221</v>
      </c>
      <c r="O248" s="431"/>
      <c r="P248" s="431"/>
      <c r="Q248" s="311">
        <f>R66</f>
        <v>8760</v>
      </c>
      <c r="R248" s="235">
        <f>N248*N248*L248*3/1000</f>
        <v>2.7660936224220686E-3</v>
      </c>
      <c r="S248" s="558">
        <f>Q248*R248</f>
        <v>24.230980132417322</v>
      </c>
      <c r="T248" s="558"/>
      <c r="U248" s="58"/>
    </row>
    <row r="249" spans="1:22" ht="12.75" customHeight="1">
      <c r="A249" s="37"/>
      <c r="B249" s="435"/>
      <c r="C249" s="436"/>
      <c r="D249" s="413" t="s">
        <v>80</v>
      </c>
      <c r="E249" s="437"/>
      <c r="F249" s="438"/>
      <c r="G249" s="234" t="s">
        <v>125</v>
      </c>
      <c r="H249" s="439">
        <f>S56</f>
        <v>53</v>
      </c>
      <c r="I249" s="440"/>
      <c r="J249" s="441">
        <v>5.32</v>
      </c>
      <c r="K249" s="442"/>
      <c r="L249" s="430">
        <f>J249*H249/1000</f>
        <v>0.28196000000000004</v>
      </c>
      <c r="M249" s="430"/>
      <c r="N249" s="431">
        <f>G264</f>
        <v>6.5656866588435561</v>
      </c>
      <c r="O249" s="431"/>
      <c r="P249" s="431"/>
      <c r="Q249" s="311">
        <f>Q248</f>
        <v>8760</v>
      </c>
      <c r="R249" s="235">
        <f>N249*N249*L249*3/1000</f>
        <v>3.6464399152634101E-2</v>
      </c>
      <c r="S249" s="558">
        <f>Q249*R249</f>
        <v>319.42813657707472</v>
      </c>
      <c r="T249" s="558"/>
      <c r="U249" s="58"/>
    </row>
    <row r="250" spans="1:22" ht="6.75" customHeight="1">
      <c r="A250" s="184"/>
      <c r="B250" s="1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1"/>
    </row>
    <row r="251" spans="1:22" ht="6.75" customHeight="1">
      <c r="A251" s="9"/>
      <c r="B251" s="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>
      <c r="A252" s="596" t="s">
        <v>114</v>
      </c>
      <c r="B252" s="597"/>
      <c r="C252" s="597"/>
      <c r="D252" s="597"/>
      <c r="E252" s="597"/>
      <c r="F252" s="597"/>
      <c r="G252" s="597"/>
      <c r="H252" s="597"/>
      <c r="I252" s="597"/>
      <c r="J252" s="597"/>
      <c r="K252" s="597"/>
      <c r="L252" s="597"/>
      <c r="M252" s="597"/>
      <c r="N252" s="597"/>
      <c r="O252" s="597"/>
      <c r="P252" s="597"/>
      <c r="Q252" s="597"/>
      <c r="R252" s="597"/>
      <c r="S252" s="597"/>
      <c r="T252" s="597"/>
      <c r="U252" s="598"/>
    </row>
    <row r="253" spans="1:22">
      <c r="A253" s="37"/>
      <c r="B253" s="61"/>
      <c r="C253" s="1"/>
      <c r="D253" s="289" t="s">
        <v>327</v>
      </c>
      <c r="E253" s="289" t="s">
        <v>180</v>
      </c>
      <c r="F253" s="457" t="s">
        <v>382</v>
      </c>
      <c r="G253" s="457"/>
      <c r="H253" s="457" t="s">
        <v>383</v>
      </c>
      <c r="I253" s="457"/>
      <c r="J253" s="457" t="s">
        <v>353</v>
      </c>
      <c r="K253" s="457"/>
      <c r="L253" s="457" t="s">
        <v>357</v>
      </c>
      <c r="M253" s="457"/>
      <c r="N253" s="457" t="s">
        <v>15</v>
      </c>
      <c r="O253" s="457"/>
      <c r="P253" s="457"/>
      <c r="Q253" s="457" t="s">
        <v>16</v>
      </c>
      <c r="R253" s="457"/>
      <c r="S253" s="1"/>
      <c r="T253" s="58"/>
      <c r="U253" s="58"/>
    </row>
    <row r="254" spans="1:22">
      <c r="A254" s="37"/>
      <c r="B254" s="61"/>
      <c r="C254" s="185"/>
      <c r="D254" s="313">
        <f>G263*1000/(1.732*E159*G264)</f>
        <v>0.78281832969042675</v>
      </c>
      <c r="E254" s="241">
        <f>(M177/L223/0.746)</f>
        <v>3.9454582422606665</v>
      </c>
      <c r="F254" s="567">
        <v>5</v>
      </c>
      <c r="G254" s="567"/>
      <c r="H254" s="466">
        <f>S257*(L254+Q257)</f>
        <v>0.74237912801239181</v>
      </c>
      <c r="I254" s="466"/>
      <c r="J254" s="466">
        <f>(M177/L223)/(0.746*F254)</f>
        <v>0.78909164845213331</v>
      </c>
      <c r="K254" s="466"/>
      <c r="L254" s="466">
        <f>N254+(J254-0.75)/(1-0.75)*(Q254-N254)</f>
        <v>0.74269099781425596</v>
      </c>
      <c r="M254" s="466"/>
      <c r="N254" s="568">
        <v>0.73799999999999999</v>
      </c>
      <c r="O254" s="568"/>
      <c r="P254" s="568"/>
      <c r="Q254" s="568">
        <v>0.76800000000000002</v>
      </c>
      <c r="R254" s="568"/>
      <c r="S254" s="1"/>
      <c r="T254" s="58"/>
      <c r="U254" s="58"/>
    </row>
    <row r="255" spans="1:22" ht="6" customHeight="1">
      <c r="A255" s="37"/>
      <c r="B255" s="1"/>
      <c r="C255" s="185"/>
      <c r="D255" s="62"/>
      <c r="E255" s="63"/>
      <c r="F255" s="63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  <c r="R255" s="65"/>
      <c r="S255" s="57"/>
      <c r="T255" s="66"/>
      <c r="U255" s="58"/>
    </row>
    <row r="256" spans="1:22" ht="15" customHeight="1">
      <c r="A256" s="37"/>
      <c r="B256" s="1"/>
      <c r="C256" s="1"/>
      <c r="D256" s="62"/>
      <c r="E256" s="63"/>
      <c r="F256" s="63"/>
      <c r="G256" s="64"/>
      <c r="H256" s="64"/>
      <c r="I256" s="64"/>
      <c r="J256" s="64"/>
      <c r="K256" s="64"/>
      <c r="L256" s="595" t="s">
        <v>157</v>
      </c>
      <c r="M256" s="595"/>
      <c r="N256" s="595" t="s">
        <v>158</v>
      </c>
      <c r="O256" s="595"/>
      <c r="P256" s="595"/>
      <c r="Q256" s="595" t="s">
        <v>159</v>
      </c>
      <c r="R256" s="595"/>
      <c r="S256" s="595" t="s">
        <v>160</v>
      </c>
      <c r="T256" s="595"/>
      <c r="U256" s="58"/>
    </row>
    <row r="257" spans="1:21" ht="15" customHeight="1">
      <c r="A257" s="37"/>
      <c r="B257" s="1"/>
      <c r="C257" s="51"/>
      <c r="D257" s="67"/>
      <c r="E257" s="68"/>
      <c r="F257" s="68"/>
      <c r="G257" s="69"/>
      <c r="H257" s="69"/>
      <c r="I257" s="69"/>
      <c r="J257" s="69"/>
      <c r="K257" s="69"/>
      <c r="L257" s="466">
        <v>0</v>
      </c>
      <c r="M257" s="466"/>
      <c r="N257" s="466">
        <v>0</v>
      </c>
      <c r="O257" s="466"/>
      <c r="P257" s="466"/>
      <c r="Q257" s="594">
        <f>P166</f>
        <v>-2.4433529046052633E-4</v>
      </c>
      <c r="R257" s="594"/>
      <c r="S257" s="468">
        <f>R166</f>
        <v>0.99990903789482455</v>
      </c>
      <c r="T257" s="468"/>
      <c r="U257" s="58"/>
    </row>
    <row r="258" spans="1:21" ht="6.75" customHeight="1">
      <c r="A258" s="2"/>
      <c r="B258" s="3"/>
      <c r="C258" s="186"/>
      <c r="D258" s="187"/>
      <c r="E258" s="68"/>
      <c r="F258" s="68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188"/>
      <c r="R258" s="188"/>
      <c r="S258" s="189"/>
      <c r="T258" s="190"/>
      <c r="U258" s="4"/>
    </row>
    <row r="259" spans="1:21" ht="12" customHeight="1">
      <c r="C259" s="51"/>
      <c r="D259" s="136"/>
      <c r="E259" s="56"/>
      <c r="F259" s="56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72"/>
      <c r="R259" s="72"/>
      <c r="S259" s="152"/>
      <c r="T259" s="137"/>
    </row>
    <row r="260" spans="1:21" ht="13.5" customHeight="1">
      <c r="A260" s="579" t="s">
        <v>37</v>
      </c>
      <c r="B260" s="580"/>
      <c r="C260" s="580"/>
      <c r="D260" s="580"/>
      <c r="E260" s="580"/>
      <c r="F260" s="580"/>
      <c r="G260" s="580"/>
      <c r="H260" s="580"/>
      <c r="I260" s="580"/>
      <c r="J260" s="580"/>
      <c r="K260" s="580"/>
      <c r="L260" s="580"/>
      <c r="M260" s="580"/>
      <c r="N260" s="580"/>
      <c r="O260" s="580"/>
      <c r="P260" s="580"/>
      <c r="Q260" s="580"/>
      <c r="R260" s="580"/>
      <c r="S260" s="580"/>
      <c r="T260" s="580"/>
      <c r="U260" s="581"/>
    </row>
    <row r="261" spans="1:21" ht="15" customHeight="1">
      <c r="A261" s="37"/>
      <c r="B261" s="586" t="s">
        <v>287</v>
      </c>
      <c r="C261" s="587"/>
      <c r="D261" s="588"/>
      <c r="E261" s="589" t="s">
        <v>288</v>
      </c>
      <c r="F261" s="590"/>
      <c r="G261" s="589" t="s">
        <v>289</v>
      </c>
      <c r="H261" s="591"/>
      <c r="I261" s="59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58"/>
    </row>
    <row r="262" spans="1:21" ht="15" customHeight="1">
      <c r="A262" s="37"/>
      <c r="B262" s="549" t="s">
        <v>290</v>
      </c>
      <c r="C262" s="550"/>
      <c r="D262" s="551"/>
      <c r="E262" s="412" t="s">
        <v>46</v>
      </c>
      <c r="F262" s="395"/>
      <c r="G262" s="546">
        <f>SUM(G266:I272)</f>
        <v>35074.446691347999</v>
      </c>
      <c r="H262" s="547"/>
      <c r="I262" s="54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58"/>
    </row>
    <row r="263" spans="1:21" ht="15" customHeight="1">
      <c r="A263" s="37"/>
      <c r="B263" s="549" t="s">
        <v>364</v>
      </c>
      <c r="C263" s="550"/>
      <c r="D263" s="551"/>
      <c r="E263" s="412" t="s">
        <v>170</v>
      </c>
      <c r="F263" s="395"/>
      <c r="G263" s="583">
        <f>M177/L231</f>
        <v>3.964701777926773</v>
      </c>
      <c r="H263" s="584"/>
      <c r="I263" s="58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58"/>
    </row>
    <row r="264" spans="1:21" ht="15" customHeight="1">
      <c r="A264" s="37"/>
      <c r="B264" s="582" t="s">
        <v>83</v>
      </c>
      <c r="C264" s="550"/>
      <c r="D264" s="551"/>
      <c r="E264" s="412" t="s">
        <v>133</v>
      </c>
      <c r="F264" s="395"/>
      <c r="G264" s="583">
        <f>G263*1000/(1.732*E159*G265)</f>
        <v>6.5656866588435561</v>
      </c>
      <c r="H264" s="584"/>
      <c r="I264" s="58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58"/>
    </row>
    <row r="265" spans="1:21" ht="15" customHeight="1">
      <c r="A265" s="37"/>
      <c r="B265" s="582" t="s">
        <v>119</v>
      </c>
      <c r="C265" s="550"/>
      <c r="D265" s="551"/>
      <c r="E265" s="412" t="s">
        <v>169</v>
      </c>
      <c r="F265" s="395"/>
      <c r="G265" s="576">
        <f>((J254-0.75)/(0.25))*(0.825-0.775)+0.775</f>
        <v>0.78281832969042664</v>
      </c>
      <c r="H265" s="577"/>
      <c r="I265" s="57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58"/>
    </row>
    <row r="266" spans="1:21" ht="15" customHeight="1">
      <c r="A266" s="37"/>
      <c r="B266" s="549" t="s">
        <v>295</v>
      </c>
      <c r="C266" s="550"/>
      <c r="D266" s="551"/>
      <c r="E266" s="244" t="s">
        <v>47</v>
      </c>
      <c r="F266" s="245"/>
      <c r="G266" s="546">
        <f>S248+S249</f>
        <v>343.65911670949203</v>
      </c>
      <c r="H266" s="547"/>
      <c r="I266" s="54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58"/>
    </row>
    <row r="267" spans="1:21" ht="15" customHeight="1">
      <c r="A267" s="37"/>
      <c r="B267" s="549" t="s">
        <v>296</v>
      </c>
      <c r="C267" s="550"/>
      <c r="D267" s="551"/>
      <c r="E267" s="244" t="s">
        <v>46</v>
      </c>
      <c r="F267" s="245"/>
      <c r="G267" s="534">
        <f>SUM(G268:I272)*(1/H254-1)</f>
        <v>8947.3757797947619</v>
      </c>
      <c r="H267" s="535"/>
      <c r="I267" s="53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58"/>
    </row>
    <row r="268" spans="1:21" ht="15" customHeight="1">
      <c r="A268" s="37"/>
      <c r="B268" s="549" t="s">
        <v>297</v>
      </c>
      <c r="C268" s="550"/>
      <c r="D268" s="551"/>
      <c r="E268" s="244" t="s">
        <v>46</v>
      </c>
      <c r="F268" s="245"/>
      <c r="G268" s="534">
        <f>SUM(G269:I272)*(1/L223-1)</f>
        <v>6832.604125633593</v>
      </c>
      <c r="H268" s="535"/>
      <c r="I268" s="53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58"/>
    </row>
    <row r="269" spans="1:21" ht="15" customHeight="1">
      <c r="A269" s="37"/>
      <c r="B269" s="573" t="s">
        <v>117</v>
      </c>
      <c r="C269" s="574"/>
      <c r="D269" s="575"/>
      <c r="E269" s="244" t="s">
        <v>46</v>
      </c>
      <c r="F269" s="245"/>
      <c r="G269" s="534">
        <f>G199</f>
        <v>52.452066410166417</v>
      </c>
      <c r="H269" s="535"/>
      <c r="I269" s="53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58"/>
    </row>
    <row r="270" spans="1:21" ht="15" customHeight="1">
      <c r="A270" s="37"/>
      <c r="B270" s="582" t="s">
        <v>118</v>
      </c>
      <c r="C270" s="550"/>
      <c r="D270" s="551"/>
      <c r="E270" s="244" t="s">
        <v>46</v>
      </c>
      <c r="F270" s="245"/>
      <c r="G270" s="534">
        <f>G200</f>
        <v>4652.8425412101678</v>
      </c>
      <c r="H270" s="535"/>
      <c r="I270" s="53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58"/>
    </row>
    <row r="271" spans="1:21" ht="15" customHeight="1">
      <c r="A271" s="37"/>
      <c r="B271" s="549" t="s">
        <v>293</v>
      </c>
      <c r="C271" s="550"/>
      <c r="D271" s="551"/>
      <c r="E271" s="244" t="s">
        <v>46</v>
      </c>
      <c r="F271" s="245"/>
      <c r="G271" s="534">
        <f>G201</f>
        <v>5698.2052246359299</v>
      </c>
      <c r="H271" s="535"/>
      <c r="I271" s="53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58"/>
    </row>
    <row r="272" spans="1:21" ht="15" customHeight="1">
      <c r="A272" s="37"/>
      <c r="B272" s="549" t="s">
        <v>298</v>
      </c>
      <c r="C272" s="550"/>
      <c r="D272" s="551"/>
      <c r="E272" s="244" t="s">
        <v>46</v>
      </c>
      <c r="F272" s="245"/>
      <c r="G272" s="534">
        <f>G202</f>
        <v>8547.3078369538925</v>
      </c>
      <c r="H272" s="535"/>
      <c r="I272" s="53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58"/>
    </row>
    <row r="273" spans="1:21" ht="15" customHeight="1">
      <c r="A273" s="37"/>
      <c r="B273" s="582" t="s">
        <v>120</v>
      </c>
      <c r="C273" s="550"/>
      <c r="D273" s="551"/>
      <c r="E273" s="244" t="s">
        <v>46</v>
      </c>
      <c r="F273" s="245"/>
      <c r="G273" s="534">
        <f>G191-G262</f>
        <v>38576.496274249977</v>
      </c>
      <c r="H273" s="535"/>
      <c r="I273" s="53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58"/>
    </row>
    <row r="274" spans="1:21" ht="6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4"/>
    </row>
    <row r="275" spans="1:21">
      <c r="C275" s="45"/>
      <c r="D275" s="1"/>
      <c r="E275" s="1"/>
      <c r="F275" s="1"/>
      <c r="G275" s="1"/>
      <c r="H275" s="1"/>
      <c r="I275" s="53"/>
      <c r="J275" s="53"/>
      <c r="K275" s="1"/>
      <c r="L275" s="1"/>
      <c r="M275" s="1"/>
      <c r="N275" s="1"/>
      <c r="O275" s="1"/>
      <c r="P275" s="1"/>
      <c r="Q275" s="1"/>
      <c r="R275" s="393" t="s">
        <v>128</v>
      </c>
      <c r="S275" s="538"/>
      <c r="T275" s="538"/>
      <c r="U275" s="1"/>
    </row>
    <row r="276" spans="1:21">
      <c r="A276" s="560" t="s">
        <v>22</v>
      </c>
      <c r="B276" s="561"/>
      <c r="C276" s="561"/>
      <c r="D276" s="561"/>
      <c r="E276" s="561"/>
      <c r="F276" s="561"/>
      <c r="G276" s="561"/>
      <c r="H276" s="561"/>
      <c r="I276" s="561"/>
      <c r="J276" s="561"/>
      <c r="K276" s="561"/>
      <c r="L276" s="561"/>
      <c r="M276" s="561"/>
      <c r="N276" s="561"/>
      <c r="O276" s="561"/>
      <c r="P276" s="561"/>
      <c r="Q276" s="561"/>
      <c r="R276" s="561"/>
      <c r="S276" s="561"/>
      <c r="T276" s="561"/>
      <c r="U276" s="562"/>
    </row>
    <row r="277" spans="1:21" ht="8.25" customHeight="1">
      <c r="A277" s="37"/>
      <c r="B277" s="1"/>
      <c r="C277" s="185"/>
      <c r="D277" s="1"/>
      <c r="E277" s="1"/>
      <c r="F277" s="1"/>
      <c r="G277" s="1"/>
      <c r="H277" s="1"/>
      <c r="I277" s="53"/>
      <c r="J277" s="53"/>
      <c r="K277" s="1"/>
      <c r="L277" s="1"/>
      <c r="M277" s="1"/>
      <c r="N277" s="1"/>
      <c r="O277" s="1"/>
      <c r="P277" s="1"/>
      <c r="Q277" s="1"/>
      <c r="R277" s="65"/>
      <c r="S277" s="65"/>
      <c r="T277" s="65"/>
      <c r="U277" s="58"/>
    </row>
    <row r="278" spans="1:21" ht="14.25" customHeight="1">
      <c r="A278" s="37"/>
      <c r="B278" s="1"/>
      <c r="C278" s="566" t="s">
        <v>366</v>
      </c>
      <c r="D278" s="566"/>
      <c r="E278" s="566"/>
      <c r="F278" s="566"/>
      <c r="G278" s="566"/>
      <c r="H278" s="566"/>
      <c r="I278" s="566"/>
      <c r="J278" s="566"/>
      <c r="K278" s="566"/>
      <c r="L278" s="566"/>
      <c r="M278" s="566"/>
      <c r="N278" s="566"/>
      <c r="O278" s="566"/>
      <c r="P278" s="566"/>
      <c r="Q278" s="592">
        <v>0.12</v>
      </c>
      <c r="R278" s="592"/>
      <c r="S278" s="565" t="s">
        <v>28</v>
      </c>
      <c r="T278" s="565"/>
      <c r="U278" s="58"/>
    </row>
    <row r="279" spans="1:21" ht="14.25" customHeight="1">
      <c r="A279" s="37"/>
      <c r="B279" s="1"/>
      <c r="C279" s="185"/>
      <c r="D279" s="1"/>
      <c r="E279" s="1"/>
      <c r="F279" s="1"/>
      <c r="G279" s="1"/>
      <c r="H279" s="1"/>
      <c r="I279" s="53"/>
      <c r="J279" s="53"/>
      <c r="K279" s="1"/>
      <c r="L279" s="1"/>
      <c r="M279" s="1"/>
      <c r="N279" s="1"/>
      <c r="O279" s="1"/>
      <c r="P279" s="1"/>
      <c r="Q279" s="1"/>
      <c r="R279" s="65"/>
      <c r="S279" s="65"/>
      <c r="T279" s="65"/>
      <c r="U279" s="58"/>
    </row>
    <row r="280" spans="1:21" ht="12.75" customHeight="1">
      <c r="A280" s="37"/>
      <c r="B280" s="1"/>
      <c r="C280" s="498" t="s">
        <v>365</v>
      </c>
      <c r="D280" s="498"/>
      <c r="E280" s="498"/>
      <c r="F280" s="63"/>
      <c r="G280" s="563" t="s">
        <v>21</v>
      </c>
      <c r="H280" s="564"/>
      <c r="I280" s="564"/>
      <c r="J280" s="564"/>
      <c r="K280" s="564"/>
      <c r="L280" s="564"/>
      <c r="M280" s="564"/>
      <c r="N280" s="564"/>
      <c r="O280" s="564"/>
      <c r="P280" s="564"/>
      <c r="Q280" s="564"/>
      <c r="R280" s="564"/>
      <c r="S280" s="564"/>
      <c r="T280" s="564"/>
      <c r="U280" s="58"/>
    </row>
    <row r="281" spans="1:21" ht="12.75" customHeight="1">
      <c r="A281" s="37"/>
      <c r="B281" s="1"/>
      <c r="C281" s="185"/>
      <c r="D281" s="196"/>
      <c r="E281" s="196"/>
      <c r="F281" s="166"/>
      <c r="G281" s="1"/>
      <c r="H281" s="563" t="s">
        <v>42</v>
      </c>
      <c r="I281" s="563"/>
      <c r="J281" s="563"/>
      <c r="K281" s="563"/>
      <c r="L281" s="563"/>
      <c r="M281" s="563"/>
      <c r="N281" s="563"/>
      <c r="O281" s="563"/>
      <c r="P281" s="563"/>
      <c r="Q281" s="555">
        <f>G273</f>
        <v>38576.496274249977</v>
      </c>
      <c r="R281" s="555"/>
      <c r="S281" s="563" t="s">
        <v>46</v>
      </c>
      <c r="T281" s="563"/>
      <c r="U281" s="58"/>
    </row>
    <row r="282" spans="1:21" ht="12.75" customHeight="1">
      <c r="A282" s="37"/>
      <c r="B282" s="1"/>
      <c r="C282" s="185"/>
      <c r="D282" s="191"/>
      <c r="E282" s="191"/>
      <c r="F282" s="63"/>
      <c r="G282" s="1"/>
      <c r="H282" s="559" t="s">
        <v>43</v>
      </c>
      <c r="I282" s="559"/>
      <c r="J282" s="559"/>
      <c r="K282" s="559"/>
      <c r="L282" s="559"/>
      <c r="M282" s="559"/>
      <c r="N282" s="559"/>
      <c r="O282" s="559"/>
      <c r="P282" s="559"/>
      <c r="Q282" s="555">
        <f>S301</f>
        <v>4629.1795529099973</v>
      </c>
      <c r="R282" s="555"/>
      <c r="S282" s="563" t="s">
        <v>48</v>
      </c>
      <c r="T282" s="563"/>
      <c r="U282" s="58"/>
    </row>
    <row r="283" spans="1:21">
      <c r="A283" s="37"/>
      <c r="B283" s="1"/>
      <c r="C283" s="185"/>
      <c r="D283" s="191"/>
      <c r="E283" s="191"/>
      <c r="F283" s="63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192"/>
      <c r="R283" s="192"/>
      <c r="S283" s="57"/>
      <c r="T283" s="57"/>
      <c r="U283" s="58"/>
    </row>
    <row r="284" spans="1:21" ht="12.75" customHeight="1">
      <c r="A284" s="37"/>
      <c r="B284" s="1"/>
      <c r="C284" s="545" t="s">
        <v>367</v>
      </c>
      <c r="D284" s="545"/>
      <c r="E284" s="545"/>
      <c r="F284" s="63"/>
      <c r="G284" s="559" t="s">
        <v>49</v>
      </c>
      <c r="H284" s="559"/>
      <c r="I284" s="559"/>
      <c r="J284" s="559"/>
      <c r="K284" s="559"/>
      <c r="L284" s="559"/>
      <c r="M284" s="559"/>
      <c r="N284" s="559"/>
      <c r="O284" s="559"/>
      <c r="P284" s="559"/>
      <c r="Q284" s="559"/>
      <c r="R284" s="559"/>
      <c r="S284" s="559"/>
      <c r="T284" s="559"/>
      <c r="U284" s="58"/>
    </row>
    <row r="285" spans="1:21" ht="12.75" customHeight="1">
      <c r="A285" s="37"/>
      <c r="B285" s="1"/>
      <c r="C285" s="185"/>
      <c r="D285" s="197"/>
      <c r="E285" s="197"/>
      <c r="F285" s="163"/>
      <c r="G285" s="559"/>
      <c r="H285" s="559"/>
      <c r="I285" s="559"/>
      <c r="J285" s="559"/>
      <c r="K285" s="559"/>
      <c r="L285" s="559"/>
      <c r="M285" s="559"/>
      <c r="N285" s="559"/>
      <c r="O285" s="559"/>
      <c r="P285" s="559"/>
      <c r="Q285" s="559"/>
      <c r="R285" s="559"/>
      <c r="S285" s="559"/>
      <c r="T285" s="559"/>
      <c r="U285" s="58"/>
    </row>
    <row r="286" spans="1:21" ht="12.75" customHeight="1">
      <c r="A286" s="37"/>
      <c r="B286" s="1"/>
      <c r="C286" s="185"/>
      <c r="D286" s="191"/>
      <c r="E286" s="191"/>
      <c r="F286" s="63"/>
      <c r="G286" s="1"/>
      <c r="H286" s="559" t="s">
        <v>50</v>
      </c>
      <c r="I286" s="559"/>
      <c r="J286" s="559"/>
      <c r="K286" s="559"/>
      <c r="L286" s="559"/>
      <c r="M286" s="559"/>
      <c r="N286" s="559"/>
      <c r="O286" s="559"/>
      <c r="P286" s="559"/>
      <c r="Q286" s="555">
        <f>G196-G266</f>
        <v>1194.2151053968282</v>
      </c>
      <c r="R286" s="555"/>
      <c r="S286" s="563" t="s">
        <v>46</v>
      </c>
      <c r="T286" s="564"/>
      <c r="U286" s="58"/>
    </row>
    <row r="287" spans="1:21" ht="12.75" customHeight="1">
      <c r="A287" s="37"/>
      <c r="B287" s="1"/>
      <c r="C287" s="185"/>
      <c r="D287" s="191"/>
      <c r="E287" s="191"/>
      <c r="F287" s="63"/>
      <c r="G287" s="1"/>
      <c r="H287" s="559" t="s">
        <v>51</v>
      </c>
      <c r="I287" s="559"/>
      <c r="J287" s="559"/>
      <c r="K287" s="559"/>
      <c r="L287" s="559"/>
      <c r="M287" s="559"/>
      <c r="N287" s="559"/>
      <c r="O287" s="559"/>
      <c r="P287" s="559"/>
      <c r="Q287" s="555">
        <f>Q286*Q278</f>
        <v>143.30581264761938</v>
      </c>
      <c r="R287" s="555"/>
      <c r="S287" s="563" t="s">
        <v>48</v>
      </c>
      <c r="T287" s="564"/>
      <c r="U287" s="58"/>
    </row>
    <row r="288" spans="1:21" ht="7.5" customHeight="1">
      <c r="A288" s="2"/>
      <c r="B288" s="3"/>
      <c r="C288" s="193"/>
      <c r="D288" s="110"/>
      <c r="E288" s="110"/>
      <c r="F288" s="3"/>
      <c r="G288" s="3"/>
      <c r="H288" s="3"/>
      <c r="I288" s="194"/>
      <c r="J288" s="194"/>
      <c r="K288" s="3"/>
      <c r="L288" s="3"/>
      <c r="M288" s="3"/>
      <c r="N288" s="3"/>
      <c r="O288" s="3"/>
      <c r="P288" s="3"/>
      <c r="Q288" s="3"/>
      <c r="R288" s="188"/>
      <c r="S288" s="188"/>
      <c r="T288" s="188"/>
      <c r="U288" s="4"/>
    </row>
    <row r="289" spans="1:21">
      <c r="C289" s="45"/>
      <c r="D289" s="39"/>
      <c r="E289" s="39"/>
      <c r="F289" s="1"/>
      <c r="G289" s="1"/>
      <c r="H289" s="1"/>
      <c r="I289" s="53"/>
      <c r="J289" s="53"/>
      <c r="K289" s="1"/>
      <c r="L289" s="1"/>
      <c r="M289" s="1"/>
      <c r="N289" s="1"/>
      <c r="O289" s="1"/>
      <c r="P289" s="1"/>
      <c r="Q289" s="1"/>
      <c r="R289" s="72"/>
      <c r="S289" s="72"/>
      <c r="T289" s="72"/>
      <c r="U289" s="1"/>
    </row>
    <row r="290" spans="1:21">
      <c r="A290" s="417" t="s">
        <v>24</v>
      </c>
      <c r="B290" s="418"/>
      <c r="C290" s="418"/>
      <c r="D290" s="418"/>
      <c r="E290" s="418"/>
      <c r="F290" s="418"/>
      <c r="G290" s="418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  <c r="T290" s="418"/>
      <c r="U290" s="419"/>
    </row>
    <row r="291" spans="1:21" ht="28.5" customHeight="1">
      <c r="A291" s="37"/>
      <c r="B291" s="1"/>
      <c r="C291" s="296" t="s">
        <v>25</v>
      </c>
      <c r="D291" s="524" t="s">
        <v>40</v>
      </c>
      <c r="E291" s="524"/>
      <c r="F291" s="524"/>
      <c r="G291" s="524"/>
      <c r="H291" s="524"/>
      <c r="I291" s="524"/>
      <c r="J291" s="524"/>
      <c r="K291" s="524"/>
      <c r="L291" s="524"/>
      <c r="M291" s="524"/>
      <c r="N291" s="524" t="s">
        <v>289</v>
      </c>
      <c r="O291" s="524"/>
      <c r="P291" s="524"/>
      <c r="Q291" s="523" t="s">
        <v>374</v>
      </c>
      <c r="R291" s="523"/>
      <c r="S291" s="523" t="s">
        <v>375</v>
      </c>
      <c r="T291" s="523"/>
      <c r="U291" s="58"/>
    </row>
    <row r="292" spans="1:21" ht="15" customHeight="1">
      <c r="A292" s="37"/>
      <c r="B292" s="122"/>
      <c r="C292" s="242">
        <v>1</v>
      </c>
      <c r="D292" s="515" t="s">
        <v>26</v>
      </c>
      <c r="E292" s="515"/>
      <c r="F292" s="515"/>
      <c r="G292" s="515"/>
      <c r="H292" s="515"/>
      <c r="I292" s="515"/>
      <c r="J292" s="515"/>
      <c r="K292" s="515"/>
      <c r="L292" s="515"/>
      <c r="M292" s="515"/>
      <c r="N292" s="522">
        <v>1</v>
      </c>
      <c r="O292" s="522"/>
      <c r="P292" s="522"/>
      <c r="Q292" s="510">
        <v>3431</v>
      </c>
      <c r="R292" s="510"/>
      <c r="S292" s="511">
        <f>N292*Q292</f>
        <v>3431</v>
      </c>
      <c r="T292" s="511"/>
      <c r="U292" s="58"/>
    </row>
    <row r="293" spans="1:21" ht="12.75" customHeight="1">
      <c r="A293" s="37"/>
      <c r="B293" s="1"/>
      <c r="C293" s="242">
        <v>2</v>
      </c>
      <c r="D293" s="515" t="s">
        <v>44</v>
      </c>
      <c r="E293" s="515"/>
      <c r="F293" s="515"/>
      <c r="G293" s="515"/>
      <c r="H293" s="515"/>
      <c r="I293" s="515"/>
      <c r="J293" s="515"/>
      <c r="K293" s="515"/>
      <c r="L293" s="515"/>
      <c r="M293" s="515"/>
      <c r="N293" s="522">
        <v>1</v>
      </c>
      <c r="O293" s="522"/>
      <c r="P293" s="522"/>
      <c r="Q293" s="510">
        <v>1000</v>
      </c>
      <c r="R293" s="510"/>
      <c r="S293" s="511">
        <f>N293*Q293</f>
        <v>1000</v>
      </c>
      <c r="T293" s="511"/>
      <c r="U293" s="58"/>
    </row>
    <row r="294" spans="1:21" ht="12.75" customHeight="1">
      <c r="A294" s="37"/>
      <c r="B294" s="1"/>
      <c r="C294" s="242">
        <v>3</v>
      </c>
      <c r="D294" s="514" t="s">
        <v>345</v>
      </c>
      <c r="E294" s="515"/>
      <c r="F294" s="515"/>
      <c r="G294" s="515"/>
      <c r="H294" s="515"/>
      <c r="I294" s="515"/>
      <c r="J294" s="515"/>
      <c r="K294" s="515"/>
      <c r="L294" s="515"/>
      <c r="M294" s="515"/>
      <c r="N294" s="522">
        <v>1</v>
      </c>
      <c r="O294" s="522"/>
      <c r="P294" s="522"/>
      <c r="Q294" s="510">
        <v>245</v>
      </c>
      <c r="R294" s="510"/>
      <c r="S294" s="511">
        <f>N294*Q294</f>
        <v>245</v>
      </c>
      <c r="T294" s="511"/>
      <c r="U294" s="58"/>
    </row>
    <row r="295" spans="1:21" ht="12.75" customHeight="1">
      <c r="A295" s="37"/>
      <c r="B295" s="1"/>
      <c r="C295" s="593" t="s">
        <v>27</v>
      </c>
      <c r="D295" s="593"/>
      <c r="E295" s="593"/>
      <c r="F295" s="593"/>
      <c r="G295" s="593"/>
      <c r="H295" s="593"/>
      <c r="I295" s="593"/>
      <c r="J295" s="593"/>
      <c r="K295" s="593"/>
      <c r="L295" s="593"/>
      <c r="M295" s="593"/>
      <c r="N295" s="593"/>
      <c r="O295" s="593"/>
      <c r="P295" s="593"/>
      <c r="Q295" s="593"/>
      <c r="R295" s="593"/>
      <c r="S295" s="511">
        <f>SUM(S292:T294)*1.15</f>
        <v>5377.4</v>
      </c>
      <c r="T295" s="511"/>
      <c r="U295" s="58"/>
    </row>
    <row r="296" spans="1:21" ht="5.25" customHeight="1">
      <c r="A296" s="2"/>
      <c r="B296" s="3"/>
      <c r="C296" s="3"/>
      <c r="D296" s="187"/>
      <c r="E296" s="68"/>
      <c r="F296" s="68"/>
      <c r="G296" s="602"/>
      <c r="H296" s="602"/>
      <c r="I296" s="602"/>
      <c r="J296" s="602"/>
      <c r="K296" s="602"/>
      <c r="L296" s="602"/>
      <c r="M296" s="602"/>
      <c r="N296" s="602"/>
      <c r="O296" s="602"/>
      <c r="P296" s="602"/>
      <c r="Q296" s="602"/>
      <c r="R296" s="602"/>
      <c r="S296" s="602"/>
      <c r="T296" s="602"/>
      <c r="U296" s="4"/>
    </row>
    <row r="297" spans="1:21">
      <c r="D297" s="136"/>
      <c r="E297" s="56"/>
      <c r="F297" s="56"/>
      <c r="G297" s="137"/>
      <c r="H297" s="137"/>
      <c r="I297" s="46"/>
      <c r="J297" s="75"/>
      <c r="K297" s="75"/>
      <c r="L297" s="75"/>
      <c r="M297" s="75"/>
      <c r="N297" s="75"/>
      <c r="O297" s="75"/>
      <c r="P297" s="75"/>
      <c r="Q297" s="75"/>
      <c r="R297" s="75"/>
      <c r="S297" s="138"/>
      <c r="T297" s="138"/>
    </row>
    <row r="298" spans="1:21" ht="12.75" customHeight="1">
      <c r="A298" s="560" t="s">
        <v>29</v>
      </c>
      <c r="B298" s="561"/>
      <c r="C298" s="561"/>
      <c r="D298" s="561"/>
      <c r="E298" s="561"/>
      <c r="F298" s="561"/>
      <c r="G298" s="561"/>
      <c r="H298" s="561"/>
      <c r="I298" s="561"/>
      <c r="J298" s="561"/>
      <c r="K298" s="561"/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>
      <c r="A299" s="37"/>
      <c r="B299" s="1"/>
      <c r="C299" s="1"/>
      <c r="D299" s="191"/>
      <c r="E299" s="63"/>
      <c r="F299" s="63"/>
      <c r="G299" s="182"/>
      <c r="H299" s="182"/>
      <c r="I299" s="195"/>
      <c r="J299" s="201"/>
      <c r="K299" s="201"/>
      <c r="L299" s="201"/>
      <c r="M299" s="201"/>
      <c r="N299" s="201"/>
      <c r="O299" s="201"/>
      <c r="P299" s="201"/>
      <c r="Q299" s="201"/>
      <c r="R299" s="201"/>
      <c r="S299" s="192"/>
      <c r="T299" s="192"/>
      <c r="U299" s="58"/>
    </row>
    <row r="300" spans="1:21" ht="14.25" customHeight="1">
      <c r="A300" s="37"/>
      <c r="B300" s="1"/>
      <c r="C300" s="185"/>
      <c r="D300" s="545" t="s">
        <v>368</v>
      </c>
      <c r="E300" s="545"/>
      <c r="F300" s="52"/>
      <c r="G300" s="603" t="s">
        <v>329</v>
      </c>
      <c r="H300" s="604"/>
      <c r="I300" s="604"/>
      <c r="J300" s="604"/>
      <c r="K300" s="604"/>
      <c r="L300" s="604"/>
      <c r="M300" s="604"/>
      <c r="N300" s="604"/>
      <c r="O300" s="604"/>
      <c r="P300" s="604"/>
      <c r="Q300" s="604"/>
      <c r="R300" s="604"/>
      <c r="S300" s="511">
        <f>G273</f>
        <v>38576.496274249977</v>
      </c>
      <c r="T300" s="511"/>
      <c r="U300" s="58"/>
    </row>
    <row r="301" spans="1:21" ht="13.5" customHeight="1">
      <c r="A301" s="37"/>
      <c r="B301" s="1"/>
      <c r="C301" s="185"/>
      <c r="D301" s="191"/>
      <c r="E301" s="63"/>
      <c r="F301" s="63"/>
      <c r="G301" s="593" t="s">
        <v>330</v>
      </c>
      <c r="H301" s="593"/>
      <c r="I301" s="593" t="s">
        <v>178</v>
      </c>
      <c r="J301" s="593"/>
      <c r="K301" s="593"/>
      <c r="L301" s="593"/>
      <c r="M301" s="593"/>
      <c r="N301" s="593"/>
      <c r="O301" s="593"/>
      <c r="P301" s="593"/>
      <c r="Q301" s="593"/>
      <c r="R301" s="593"/>
      <c r="S301" s="601">
        <f>S300*Q278</f>
        <v>4629.1795529099973</v>
      </c>
      <c r="T301" s="601"/>
      <c r="U301" s="58"/>
    </row>
    <row r="302" spans="1:21" ht="13.5" customHeight="1">
      <c r="A302" s="37"/>
      <c r="B302" s="1"/>
      <c r="C302" s="185"/>
      <c r="D302" s="191"/>
      <c r="E302" s="63"/>
      <c r="F302" s="63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60"/>
      <c r="T302" s="60"/>
      <c r="U302" s="58"/>
    </row>
    <row r="303" spans="1:21" ht="16.5" customHeight="1">
      <c r="A303" s="37"/>
      <c r="B303" s="1"/>
      <c r="C303" s="185"/>
      <c r="D303" s="498" t="s">
        <v>369</v>
      </c>
      <c r="E303" s="498"/>
      <c r="F303" s="498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01" t="s">
        <v>328</v>
      </c>
      <c r="R303" s="502"/>
      <c r="S303" s="499">
        <f>S295</f>
        <v>5377.4</v>
      </c>
      <c r="T303" s="500"/>
      <c r="U303" s="58"/>
    </row>
    <row r="304" spans="1:21" ht="11.25" customHeight="1">
      <c r="A304" s="37"/>
      <c r="B304" s="1"/>
      <c r="C304" s="185"/>
      <c r="D304" s="1"/>
      <c r="E304" s="63"/>
      <c r="F304" s="63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60"/>
      <c r="T304" s="60"/>
      <c r="U304" s="58"/>
    </row>
    <row r="305" spans="1:21" ht="17.25" customHeight="1">
      <c r="A305" s="37"/>
      <c r="B305" s="1"/>
      <c r="C305" s="185"/>
      <c r="D305" s="498" t="s">
        <v>370</v>
      </c>
      <c r="E305" s="498"/>
      <c r="F305" s="166"/>
      <c r="G305" s="200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9" t="s">
        <v>342</v>
      </c>
      <c r="S305" s="599">
        <f>S295/S301</f>
        <v>1.1616313298151626</v>
      </c>
      <c r="T305" s="600"/>
      <c r="U305" s="58"/>
    </row>
    <row r="306" spans="1:21" ht="8.25" customHeight="1">
      <c r="A306" s="2"/>
      <c r="B306" s="3"/>
      <c r="C306" s="3"/>
      <c r="D306" s="187"/>
      <c r="E306" s="68"/>
      <c r="F306" s="68"/>
      <c r="G306" s="68"/>
      <c r="H306" s="68"/>
      <c r="I306" s="202"/>
      <c r="J306" s="68"/>
      <c r="K306" s="68"/>
      <c r="L306" s="68"/>
      <c r="M306" s="68"/>
      <c r="N306" s="68"/>
      <c r="O306" s="68"/>
      <c r="P306" s="68"/>
      <c r="Q306" s="68"/>
      <c r="R306" s="68"/>
      <c r="S306" s="203"/>
      <c r="T306" s="203"/>
      <c r="U306" s="4"/>
    </row>
    <row r="307" spans="1:21">
      <c r="D307" s="136"/>
      <c r="E307" s="56"/>
      <c r="F307" s="56"/>
      <c r="G307" s="56"/>
      <c r="H307" s="56"/>
      <c r="I307" s="47"/>
      <c r="J307" s="56"/>
      <c r="K307" s="56"/>
      <c r="L307" s="56"/>
      <c r="M307" s="56"/>
      <c r="N307" s="56"/>
      <c r="O307" s="56"/>
      <c r="P307" s="56"/>
      <c r="Q307" s="56"/>
      <c r="R307" s="56"/>
      <c r="S307" s="138"/>
      <c r="T307" s="138"/>
    </row>
    <row r="308" spans="1:21">
      <c r="D308" s="136"/>
      <c r="E308" s="56"/>
      <c r="F308" s="56"/>
      <c r="G308" s="56"/>
      <c r="H308" s="56"/>
      <c r="I308" s="47"/>
      <c r="J308" s="56"/>
      <c r="K308" s="56"/>
      <c r="L308" s="56"/>
      <c r="M308" s="56"/>
      <c r="N308" s="56"/>
      <c r="O308" s="56"/>
      <c r="P308" s="56"/>
      <c r="Q308" s="56"/>
      <c r="R308" s="56"/>
      <c r="S308" s="138"/>
      <c r="T308" s="138"/>
    </row>
  </sheetData>
  <customSheetViews>
    <customSheetView guid="{7EAC36F0-8338-4A66-B95B-07206D8A8A4D}" showPageBreaks="1" showGridLines="0" printArea="1" topLeftCell="A181">
      <selection activeCell="B208" sqref="B208:D208"/>
      <pageMargins left="0.35433070866141736" right="0.19685039370078741" top="0.23622047244094491" bottom="0.23622047244094491" header="0" footer="0"/>
      <pageSetup scale="85" orientation="portrait" r:id="rId1"/>
      <headerFooter alignWithMargins="0"/>
    </customSheetView>
    <customSheetView guid="{58434AA8-5D5E-4268-8606-182DC31BC82E}" showGridLines="0" showRuler="0" topLeftCell="A138">
      <selection activeCell="E182" sqref="E182"/>
      <pageMargins left="0.35433070866141736" right="0.19685039370078741" top="0.23622047244094491" bottom="0.23622047244094491" header="0" footer="0"/>
      <pageSetup scale="85" orientation="portrait"/>
      <headerFooter alignWithMargins="0"/>
    </customSheetView>
    <customSheetView guid="{1BD6D352-BD1E-AC41-B429-BC3DE33A4734}" scale="125" showPageBreaks="1" showGridLines="0" printArea="1" topLeftCell="A138">
      <selection activeCell="A174" sqref="A174:U174"/>
      <pageMargins left="0.35433070866141736" right="0.19685039370078741" top="0.23622047244094491" bottom="0.23622047244094491" header="0" footer="0"/>
      <pageSetup scale="85" orientation="portrait"/>
      <headerFooter alignWithMargins="0"/>
    </customSheetView>
    <customSheetView guid="{7767E51F-6FE1-486C-BA0E-724825291E5B}" showGridLines="0">
      <selection activeCell="P25" sqref="P25:T25"/>
      <pageMargins left="0.35433070866141736" right="0.19685039370078741" top="0.23622047244094491" bottom="0.23622047244094491" header="0" footer="0"/>
      <pageSetup scale="85" orientation="portrait" r:id="rId2"/>
      <headerFooter alignWithMargins="0"/>
    </customSheetView>
  </customSheetViews>
  <mergeCells count="451">
    <mergeCell ref="S305:T305"/>
    <mergeCell ref="B272:D272"/>
    <mergeCell ref="G272:I272"/>
    <mergeCell ref="S301:T301"/>
    <mergeCell ref="S295:T295"/>
    <mergeCell ref="G296:T296"/>
    <mergeCell ref="D300:E300"/>
    <mergeCell ref="G300:R300"/>
    <mergeCell ref="S300:T300"/>
    <mergeCell ref="C295:R295"/>
    <mergeCell ref="A298:U298"/>
    <mergeCell ref="D305:E305"/>
    <mergeCell ref="S287:T287"/>
    <mergeCell ref="S281:T281"/>
    <mergeCell ref="Q282:R282"/>
    <mergeCell ref="S282:T282"/>
    <mergeCell ref="G284:T285"/>
    <mergeCell ref="H286:P286"/>
    <mergeCell ref="H281:P281"/>
    <mergeCell ref="H282:P282"/>
    <mergeCell ref="Q287:R287"/>
    <mergeCell ref="Q286:R286"/>
    <mergeCell ref="S286:T286"/>
    <mergeCell ref="D291:M291"/>
    <mergeCell ref="G301:R301"/>
    <mergeCell ref="B273:D273"/>
    <mergeCell ref="Q130:R130"/>
    <mergeCell ref="B271:D271"/>
    <mergeCell ref="G271:I271"/>
    <mergeCell ref="G273:I273"/>
    <mergeCell ref="R275:T275"/>
    <mergeCell ref="G266:I266"/>
    <mergeCell ref="B267:D267"/>
    <mergeCell ref="E262:F262"/>
    <mergeCell ref="N257:P257"/>
    <mergeCell ref="Q257:R257"/>
    <mergeCell ref="S257:T257"/>
    <mergeCell ref="N249:P249"/>
    <mergeCell ref="S249:T249"/>
    <mergeCell ref="L256:M256"/>
    <mergeCell ref="N256:P256"/>
    <mergeCell ref="Q256:R256"/>
    <mergeCell ref="S256:T256"/>
    <mergeCell ref="A252:U252"/>
    <mergeCell ref="F253:G253"/>
    <mergeCell ref="H253:I253"/>
    <mergeCell ref="A10:U10"/>
    <mergeCell ref="A12:T12"/>
    <mergeCell ref="S125:T125"/>
    <mergeCell ref="B269:D269"/>
    <mergeCell ref="G269:I269"/>
    <mergeCell ref="G265:I265"/>
    <mergeCell ref="A260:U260"/>
    <mergeCell ref="B263:D263"/>
    <mergeCell ref="B270:D270"/>
    <mergeCell ref="G270:I270"/>
    <mergeCell ref="G267:I267"/>
    <mergeCell ref="B268:D268"/>
    <mergeCell ref="G268:I268"/>
    <mergeCell ref="B264:D264"/>
    <mergeCell ref="E264:F264"/>
    <mergeCell ref="G264:I264"/>
    <mergeCell ref="B265:D265"/>
    <mergeCell ref="E265:F265"/>
    <mergeCell ref="E263:F263"/>
    <mergeCell ref="G263:I263"/>
    <mergeCell ref="B261:D261"/>
    <mergeCell ref="E261:F261"/>
    <mergeCell ref="G261:I261"/>
    <mergeCell ref="B262:D262"/>
    <mergeCell ref="H287:P287"/>
    <mergeCell ref="A276:U276"/>
    <mergeCell ref="G280:T280"/>
    <mergeCell ref="S278:T278"/>
    <mergeCell ref="C278:P278"/>
    <mergeCell ref="J253:K253"/>
    <mergeCell ref="L253:M253"/>
    <mergeCell ref="N253:P253"/>
    <mergeCell ref="Q253:R253"/>
    <mergeCell ref="F254:G254"/>
    <mergeCell ref="H254:I254"/>
    <mergeCell ref="N254:P254"/>
    <mergeCell ref="Q254:R254"/>
    <mergeCell ref="Q278:R278"/>
    <mergeCell ref="G241:T241"/>
    <mergeCell ref="G234:J234"/>
    <mergeCell ref="G240:T240"/>
    <mergeCell ref="G239:T239"/>
    <mergeCell ref="A237:U237"/>
    <mergeCell ref="S248:T248"/>
    <mergeCell ref="H247:I247"/>
    <mergeCell ref="J247:K247"/>
    <mergeCell ref="J254:K254"/>
    <mergeCell ref="R246:T246"/>
    <mergeCell ref="S247:T247"/>
    <mergeCell ref="N246:P246"/>
    <mergeCell ref="L248:M248"/>
    <mergeCell ref="N248:P248"/>
    <mergeCell ref="L249:M249"/>
    <mergeCell ref="L247:M247"/>
    <mergeCell ref="N247:P247"/>
    <mergeCell ref="B248:C249"/>
    <mergeCell ref="D248:F248"/>
    <mergeCell ref="H248:I248"/>
    <mergeCell ref="J248:K248"/>
    <mergeCell ref="D249:F249"/>
    <mergeCell ref="H249:I249"/>
    <mergeCell ref="J249:K249"/>
    <mergeCell ref="C284:E284"/>
    <mergeCell ref="C280:E280"/>
    <mergeCell ref="L254:M254"/>
    <mergeCell ref="G262:I262"/>
    <mergeCell ref="L257:M257"/>
    <mergeCell ref="B266:D266"/>
    <mergeCell ref="A245:U245"/>
    <mergeCell ref="B246:F247"/>
    <mergeCell ref="G246:G247"/>
    <mergeCell ref="H246:I246"/>
    <mergeCell ref="J246:M246"/>
    <mergeCell ref="Q281:R281"/>
    <mergeCell ref="W221:W226"/>
    <mergeCell ref="B200:D200"/>
    <mergeCell ref="E200:F200"/>
    <mergeCell ref="G200:I200"/>
    <mergeCell ref="B201:D201"/>
    <mergeCell ref="E201:F201"/>
    <mergeCell ref="R212:T212"/>
    <mergeCell ref="A213:U213"/>
    <mergeCell ref="D215:T215"/>
    <mergeCell ref="A219:U219"/>
    <mergeCell ref="G201:I201"/>
    <mergeCell ref="D210:T210"/>
    <mergeCell ref="B202:D202"/>
    <mergeCell ref="E202:F202"/>
    <mergeCell ref="G202:I202"/>
    <mergeCell ref="A205:U205"/>
    <mergeCell ref="D207:T207"/>
    <mergeCell ref="D208:T208"/>
    <mergeCell ref="D209:T209"/>
    <mergeCell ref="C221:E221"/>
    <mergeCell ref="G223:I223"/>
    <mergeCell ref="G225:I225"/>
    <mergeCell ref="G193:I193"/>
    <mergeCell ref="B196:D196"/>
    <mergeCell ref="E196:F196"/>
    <mergeCell ref="G196:I196"/>
    <mergeCell ref="B197:D197"/>
    <mergeCell ref="E197:F197"/>
    <mergeCell ref="G197:I197"/>
    <mergeCell ref="B198:D198"/>
    <mergeCell ref="E198:F198"/>
    <mergeCell ref="G198:I198"/>
    <mergeCell ref="Q294:R294"/>
    <mergeCell ref="D294:M294"/>
    <mergeCell ref="B190:D190"/>
    <mergeCell ref="E190:F190"/>
    <mergeCell ref="G190:I190"/>
    <mergeCell ref="B194:D194"/>
    <mergeCell ref="E194:F194"/>
    <mergeCell ref="G194:I194"/>
    <mergeCell ref="B191:D191"/>
    <mergeCell ref="E191:F191"/>
    <mergeCell ref="G191:I191"/>
    <mergeCell ref="A290:U290"/>
    <mergeCell ref="D293:M293"/>
    <mergeCell ref="N293:P293"/>
    <mergeCell ref="S293:T293"/>
    <mergeCell ref="S291:T291"/>
    <mergeCell ref="Q291:R291"/>
    <mergeCell ref="N291:P291"/>
    <mergeCell ref="N294:P294"/>
    <mergeCell ref="Q293:R293"/>
    <mergeCell ref="S294:T294"/>
    <mergeCell ref="D292:M292"/>
    <mergeCell ref="N292:P292"/>
    <mergeCell ref="B199:D199"/>
    <mergeCell ref="S292:T292"/>
    <mergeCell ref="A188:U188"/>
    <mergeCell ref="R184:S184"/>
    <mergeCell ref="B185:C185"/>
    <mergeCell ref="G185:H185"/>
    <mergeCell ref="I185:J185"/>
    <mergeCell ref="K185:L185"/>
    <mergeCell ref="M185:O185"/>
    <mergeCell ref="P185:Q185"/>
    <mergeCell ref="B184:C184"/>
    <mergeCell ref="G184:H184"/>
    <mergeCell ref="G228:J228"/>
    <mergeCell ref="G229:J229"/>
    <mergeCell ref="R185:S185"/>
    <mergeCell ref="E199:F199"/>
    <mergeCell ref="G199:I199"/>
    <mergeCell ref="B195:D195"/>
    <mergeCell ref="E195:F195"/>
    <mergeCell ref="G195:I195"/>
    <mergeCell ref="B192:D192"/>
    <mergeCell ref="E192:F192"/>
    <mergeCell ref="G192:I192"/>
    <mergeCell ref="B193:D193"/>
    <mergeCell ref="E193:F193"/>
    <mergeCell ref="R182:S182"/>
    <mergeCell ref="G183:H183"/>
    <mergeCell ref="I183:J183"/>
    <mergeCell ref="K183:L183"/>
    <mergeCell ref="M183:O183"/>
    <mergeCell ref="P183:Q183"/>
    <mergeCell ref="R183:S183"/>
    <mergeCell ref="M182:O182"/>
    <mergeCell ref="D303:F303"/>
    <mergeCell ref="S303:T303"/>
    <mergeCell ref="Q303:R303"/>
    <mergeCell ref="D211:T211"/>
    <mergeCell ref="I184:J184"/>
    <mergeCell ref="K184:L184"/>
    <mergeCell ref="G221:I221"/>
    <mergeCell ref="G222:I222"/>
    <mergeCell ref="M184:O184"/>
    <mergeCell ref="P184:Q184"/>
    <mergeCell ref="O231:P231"/>
    <mergeCell ref="G231:K231"/>
    <mergeCell ref="G233:K233"/>
    <mergeCell ref="G226:I226"/>
    <mergeCell ref="G227:J227"/>
    <mergeCell ref="Q292:R292"/>
    <mergeCell ref="A169:U169"/>
    <mergeCell ref="B181:S181"/>
    <mergeCell ref="B182:C183"/>
    <mergeCell ref="G182:H182"/>
    <mergeCell ref="I182:J182"/>
    <mergeCell ref="K182:L182"/>
    <mergeCell ref="L173:O173"/>
    <mergeCell ref="F175:G175"/>
    <mergeCell ref="F171:G171"/>
    <mergeCell ref="P182:Q182"/>
    <mergeCell ref="Q171:S171"/>
    <mergeCell ref="Q172:S172"/>
    <mergeCell ref="Q173:S173"/>
    <mergeCell ref="C179:E179"/>
    <mergeCell ref="L171:O171"/>
    <mergeCell ref="L172:O172"/>
    <mergeCell ref="L175:P175"/>
    <mergeCell ref="Q175:S175"/>
    <mergeCell ref="F177:G177"/>
    <mergeCell ref="F179:G179"/>
    <mergeCell ref="Q179:S179"/>
    <mergeCell ref="F172:G172"/>
    <mergeCell ref="F173:G173"/>
    <mergeCell ref="S177:T177"/>
    <mergeCell ref="G166:H166"/>
    <mergeCell ref="I166:J166"/>
    <mergeCell ref="K166:L166"/>
    <mergeCell ref="M166:O166"/>
    <mergeCell ref="P166:Q166"/>
    <mergeCell ref="R166:S166"/>
    <mergeCell ref="R165:S165"/>
    <mergeCell ref="S161:T161"/>
    <mergeCell ref="E162:F162"/>
    <mergeCell ref="G162:I162"/>
    <mergeCell ref="J162:L162"/>
    <mergeCell ref="M162:N162"/>
    <mergeCell ref="S162:T162"/>
    <mergeCell ref="E161:F161"/>
    <mergeCell ref="G161:I161"/>
    <mergeCell ref="J161:L161"/>
    <mergeCell ref="M161:N161"/>
    <mergeCell ref="G165:H165"/>
    <mergeCell ref="I165:J165"/>
    <mergeCell ref="K165:L165"/>
    <mergeCell ref="M165:O165"/>
    <mergeCell ref="P165:Q165"/>
    <mergeCell ref="P161:R161"/>
    <mergeCell ref="P162:R162"/>
    <mergeCell ref="B164:S164"/>
    <mergeCell ref="B165:C165"/>
    <mergeCell ref="S159:T159"/>
    <mergeCell ref="E160:F160"/>
    <mergeCell ref="G160:I160"/>
    <mergeCell ref="J160:L160"/>
    <mergeCell ref="M160:N160"/>
    <mergeCell ref="S160:T160"/>
    <mergeCell ref="E159:F159"/>
    <mergeCell ref="G159:I159"/>
    <mergeCell ref="J159:L159"/>
    <mergeCell ref="P159:R159"/>
    <mergeCell ref="P160:R160"/>
    <mergeCell ref="M159:N159"/>
    <mergeCell ref="M158:N158"/>
    <mergeCell ref="L152:M152"/>
    <mergeCell ref="N152:P152"/>
    <mergeCell ref="S152:T152"/>
    <mergeCell ref="A156:U156"/>
    <mergeCell ref="B152:C153"/>
    <mergeCell ref="D152:F152"/>
    <mergeCell ref="H152:I152"/>
    <mergeCell ref="H151:I151"/>
    <mergeCell ref="J152:K152"/>
    <mergeCell ref="P158:T158"/>
    <mergeCell ref="D153:F153"/>
    <mergeCell ref="H153:I153"/>
    <mergeCell ref="J153:K153"/>
    <mergeCell ref="L153:M153"/>
    <mergeCell ref="N153:P153"/>
    <mergeCell ref="S153:T153"/>
    <mergeCell ref="E158:F158"/>
    <mergeCell ref="G158:I158"/>
    <mergeCell ref="J158:L158"/>
    <mergeCell ref="J151:K151"/>
    <mergeCell ref="L151:M151"/>
    <mergeCell ref="N151:P151"/>
    <mergeCell ref="S151:T151"/>
    <mergeCell ref="R147:T147"/>
    <mergeCell ref="A149:U149"/>
    <mergeCell ref="B150:F151"/>
    <mergeCell ref="G150:G151"/>
    <mergeCell ref="H150:I150"/>
    <mergeCell ref="J150:M150"/>
    <mergeCell ref="N150:P150"/>
    <mergeCell ref="R150:T150"/>
    <mergeCell ref="N143:P143"/>
    <mergeCell ref="B144:C144"/>
    <mergeCell ref="H144:I144"/>
    <mergeCell ref="K144:L144"/>
    <mergeCell ref="N144:P144"/>
    <mergeCell ref="F145:T145"/>
    <mergeCell ref="B146:T146"/>
    <mergeCell ref="B141:E141"/>
    <mergeCell ref="F141:T141"/>
    <mergeCell ref="B142:C143"/>
    <mergeCell ref="D142:E142"/>
    <mergeCell ref="F142:I142"/>
    <mergeCell ref="J142:P142"/>
    <mergeCell ref="B137:D139"/>
    <mergeCell ref="E137:G137"/>
    <mergeCell ref="H137:L137"/>
    <mergeCell ref="M137:Q137"/>
    <mergeCell ref="R137:T137"/>
    <mergeCell ref="N138:P138"/>
    <mergeCell ref="H139:I139"/>
    <mergeCell ref="K139:L139"/>
    <mergeCell ref="N139:P139"/>
    <mergeCell ref="H138:I138"/>
    <mergeCell ref="K138:L138"/>
    <mergeCell ref="Q142:R142"/>
    <mergeCell ref="S142:T142"/>
    <mergeCell ref="H143:I143"/>
    <mergeCell ref="K143:L143"/>
    <mergeCell ref="I129:J129"/>
    <mergeCell ref="M129:O129"/>
    <mergeCell ref="K130:L130"/>
    <mergeCell ref="M130:N130"/>
    <mergeCell ref="F130:H130"/>
    <mergeCell ref="B132:T132"/>
    <mergeCell ref="S129:T129"/>
    <mergeCell ref="A135:U135"/>
    <mergeCell ref="B114:E114"/>
    <mergeCell ref="F114:H114"/>
    <mergeCell ref="I114:K114"/>
    <mergeCell ref="P114:R114"/>
    <mergeCell ref="M127:O127"/>
    <mergeCell ref="A122:U122"/>
    <mergeCell ref="I123:J123"/>
    <mergeCell ref="S123:T123"/>
    <mergeCell ref="I124:J124"/>
    <mergeCell ref="S124:T124"/>
    <mergeCell ref="I125:J125"/>
    <mergeCell ref="S113:T113"/>
    <mergeCell ref="F128:T128"/>
    <mergeCell ref="S126:T126"/>
    <mergeCell ref="I127:J127"/>
    <mergeCell ref="S114:T114"/>
    <mergeCell ref="J121:K121"/>
    <mergeCell ref="I126:J126"/>
    <mergeCell ref="F112:H112"/>
    <mergeCell ref="I112:K112"/>
    <mergeCell ref="L112:O112"/>
    <mergeCell ref="P112:R112"/>
    <mergeCell ref="M126:O126"/>
    <mergeCell ref="B113:E113"/>
    <mergeCell ref="F113:H113"/>
    <mergeCell ref="I113:K113"/>
    <mergeCell ref="L113:O113"/>
    <mergeCell ref="P113:R113"/>
    <mergeCell ref="N74:R74"/>
    <mergeCell ref="N75:R75"/>
    <mergeCell ref="N77:R77"/>
    <mergeCell ref="E75:I75"/>
    <mergeCell ref="S112:T112"/>
    <mergeCell ref="D73:I73"/>
    <mergeCell ref="D74:I74"/>
    <mergeCell ref="A82:U82"/>
    <mergeCell ref="D83:F83"/>
    <mergeCell ref="F13:U14"/>
    <mergeCell ref="D18:T18"/>
    <mergeCell ref="D19:K19"/>
    <mergeCell ref="A22:U22"/>
    <mergeCell ref="A60:U60"/>
    <mergeCell ref="O46:R47"/>
    <mergeCell ref="E32:G32"/>
    <mergeCell ref="Q54:R55"/>
    <mergeCell ref="Q15:T15"/>
    <mergeCell ref="D15:G15"/>
    <mergeCell ref="L62:M62"/>
    <mergeCell ref="R62:T62"/>
    <mergeCell ref="I83:J83"/>
    <mergeCell ref="N72:S72"/>
    <mergeCell ref="N73:S73"/>
    <mergeCell ref="E79:S79"/>
    <mergeCell ref="E63:F63"/>
    <mergeCell ref="N78:R78"/>
    <mergeCell ref="E44:G44"/>
    <mergeCell ref="E45:G45"/>
    <mergeCell ref="E46:G46"/>
    <mergeCell ref="B56:D56"/>
    <mergeCell ref="E67:T67"/>
    <mergeCell ref="L64:M64"/>
    <mergeCell ref="R63:T63"/>
    <mergeCell ref="L66:M66"/>
    <mergeCell ref="A70:U70"/>
    <mergeCell ref="E26:G26"/>
    <mergeCell ref="E27:G27"/>
    <mergeCell ref="E30:G30"/>
    <mergeCell ref="E31:G31"/>
    <mergeCell ref="E35:G35"/>
    <mergeCell ref="E36:G36"/>
    <mergeCell ref="E37:G37"/>
    <mergeCell ref="E40:G40"/>
    <mergeCell ref="E41:G41"/>
    <mergeCell ref="B166:C166"/>
    <mergeCell ref="A6:T7"/>
    <mergeCell ref="A8:T8"/>
    <mergeCell ref="R64:T64"/>
    <mergeCell ref="S66:T66"/>
    <mergeCell ref="E66:F66"/>
    <mergeCell ref="E62:F62"/>
    <mergeCell ref="E84:T84"/>
    <mergeCell ref="A120:U120"/>
    <mergeCell ref="M123:O123"/>
    <mergeCell ref="M124:O124"/>
    <mergeCell ref="M125:O125"/>
    <mergeCell ref="B112:E112"/>
    <mergeCell ref="B84:D84"/>
    <mergeCell ref="S86:T86"/>
    <mergeCell ref="A87:U87"/>
    <mergeCell ref="L63:M63"/>
    <mergeCell ref="E64:F64"/>
    <mergeCell ref="D72:I72"/>
    <mergeCell ref="A18:C18"/>
    <mergeCell ref="A19:C19"/>
    <mergeCell ref="O19:T19"/>
    <mergeCell ref="L19:N19"/>
    <mergeCell ref="E25:G25"/>
  </mergeCells>
  <phoneticPr fontId="23" type="noConversion"/>
  <pageMargins left="0.35433070866141736" right="0.19685039370078741" top="0.23622047244094491" bottom="0.23622047244094491" header="0" footer="0"/>
  <pageSetup scale="8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4:E35"/>
  <sheetViews>
    <sheetView topLeftCell="A15" workbookViewId="0">
      <selection activeCell="C34" sqref="C34"/>
    </sheetView>
  </sheetViews>
  <sheetFormatPr defaultColWidth="10.85546875" defaultRowHeight="12.75"/>
  <cols>
    <col min="3" max="3" width="5.85546875" customWidth="1"/>
  </cols>
  <sheetData>
    <row r="4" spans="2:4">
      <c r="B4">
        <v>1</v>
      </c>
      <c r="C4" s="44" t="s">
        <v>11</v>
      </c>
    </row>
    <row r="5" spans="2:4">
      <c r="C5">
        <v>1.1000000000000001</v>
      </c>
      <c r="D5" s="44" t="s">
        <v>192</v>
      </c>
    </row>
    <row r="6" spans="2:4">
      <c r="C6">
        <v>1.2</v>
      </c>
      <c r="D6" s="44" t="s">
        <v>194</v>
      </c>
    </row>
    <row r="7" spans="2:4">
      <c r="C7">
        <v>1.3</v>
      </c>
      <c r="D7" s="44" t="s">
        <v>196</v>
      </c>
    </row>
    <row r="8" spans="2:4">
      <c r="C8">
        <v>1.4</v>
      </c>
      <c r="D8" s="44" t="s">
        <v>112</v>
      </c>
    </row>
    <row r="10" spans="2:4">
      <c r="B10">
        <v>2</v>
      </c>
      <c r="C10" s="44" t="s">
        <v>200</v>
      </c>
    </row>
    <row r="11" spans="2:4">
      <c r="C11" s="44">
        <v>2.1</v>
      </c>
      <c r="D11" s="44" t="s">
        <v>201</v>
      </c>
    </row>
    <row r="12" spans="2:4">
      <c r="C12" s="44">
        <v>2.2000000000000002</v>
      </c>
      <c r="D12" s="44" t="s">
        <v>202</v>
      </c>
    </row>
    <row r="13" spans="2:4">
      <c r="C13" s="44">
        <v>2.2999999999999998</v>
      </c>
      <c r="D13" s="44" t="s">
        <v>204</v>
      </c>
    </row>
    <row r="15" spans="2:4">
      <c r="B15">
        <v>3</v>
      </c>
      <c r="C15" s="44" t="s">
        <v>205</v>
      </c>
    </row>
    <row r="16" spans="2:4">
      <c r="C16" s="44">
        <v>3.1</v>
      </c>
      <c r="D16" s="44" t="s">
        <v>206</v>
      </c>
    </row>
    <row r="17" spans="2:5">
      <c r="C17" s="44">
        <v>3.2</v>
      </c>
      <c r="D17" s="44" t="s">
        <v>52</v>
      </c>
    </row>
    <row r="18" spans="2:5">
      <c r="C18" s="44">
        <v>3.3</v>
      </c>
      <c r="D18" s="44" t="s">
        <v>53</v>
      </c>
    </row>
    <row r="19" spans="2:5">
      <c r="C19" s="44">
        <v>3.4</v>
      </c>
      <c r="D19" s="44" t="s">
        <v>54</v>
      </c>
    </row>
    <row r="20" spans="2:5">
      <c r="C20" s="44">
        <v>3.5</v>
      </c>
      <c r="D20" s="44" t="s">
        <v>55</v>
      </c>
    </row>
    <row r="22" spans="2:5">
      <c r="B22">
        <v>4</v>
      </c>
      <c r="C22" s="44" t="s">
        <v>56</v>
      </c>
    </row>
    <row r="23" spans="2:5">
      <c r="C23" s="44">
        <v>4.0999999999999996</v>
      </c>
      <c r="D23" s="44" t="s">
        <v>61</v>
      </c>
    </row>
    <row r="24" spans="2:5">
      <c r="C24" s="44">
        <v>4.2</v>
      </c>
      <c r="D24" s="44" t="s">
        <v>108</v>
      </c>
    </row>
    <row r="25" spans="2:5">
      <c r="C25" s="44">
        <v>4.3</v>
      </c>
      <c r="D25" s="44" t="s">
        <v>110</v>
      </c>
    </row>
    <row r="26" spans="2:5">
      <c r="C26" s="44"/>
      <c r="D26" s="44"/>
    </row>
    <row r="27" spans="2:5">
      <c r="B27">
        <v>5</v>
      </c>
      <c r="C27" s="605" t="s">
        <v>57</v>
      </c>
      <c r="D27" s="605"/>
      <c r="E27" s="605"/>
    </row>
    <row r="28" spans="2:5">
      <c r="C28" s="38">
        <v>5.0999999999999996</v>
      </c>
      <c r="D28" s="38" t="s">
        <v>206</v>
      </c>
    </row>
    <row r="29" spans="2:5">
      <c r="C29" s="38">
        <v>5.2</v>
      </c>
      <c r="D29" s="38" t="s">
        <v>115</v>
      </c>
    </row>
    <row r="30" spans="2:5">
      <c r="C30" s="38">
        <v>5.3</v>
      </c>
      <c r="D30" s="38" t="s">
        <v>116</v>
      </c>
    </row>
    <row r="32" spans="2:5">
      <c r="B32">
        <v>6</v>
      </c>
      <c r="C32" s="44" t="s">
        <v>12</v>
      </c>
    </row>
    <row r="33" spans="3:4">
      <c r="C33" s="44">
        <v>6.1</v>
      </c>
      <c r="D33" s="44" t="s">
        <v>23</v>
      </c>
    </row>
    <row r="34" spans="3:4">
      <c r="C34" s="44">
        <v>6.2</v>
      </c>
      <c r="D34" s="44" t="s">
        <v>30</v>
      </c>
    </row>
    <row r="35" spans="3:4">
      <c r="C35" s="44">
        <v>6.3</v>
      </c>
      <c r="D35" s="44" t="s">
        <v>31</v>
      </c>
    </row>
  </sheetData>
  <customSheetViews>
    <customSheetView guid="{7EAC36F0-8338-4A66-B95B-07206D8A8A4D}" topLeftCell="A15">
      <selection activeCell="C34" sqref="C34"/>
      <pageMargins left="0.7" right="0.7" top="0.75" bottom="0.75" header="0.3" footer="0.3"/>
    </customSheetView>
    <customSheetView guid="{58434AA8-5D5E-4268-8606-182DC31BC82E}" showRuler="0" topLeftCell="A15">
      <selection activeCell="C34" sqref="C34"/>
      <pageMargins left="0.7" right="0.7" top="0.75" bottom="0.75" header="0.3" footer="0.3"/>
      <headerFooter alignWithMargins="0"/>
    </customSheetView>
    <customSheetView guid="{1BD6D352-BD1E-AC41-B429-BC3DE33A4734}" topLeftCell="A15">
      <selection activeCell="C34" sqref="C34"/>
      <pageMargins left="0.7" right="0.7" top="0.75" bottom="0.75" header="0.3" footer="0.3"/>
      <headerFooter alignWithMargins="0"/>
    </customSheetView>
    <customSheetView guid="{7767E51F-6FE1-486C-BA0E-724825291E5B}" topLeftCell="A15">
      <selection activeCell="C34" sqref="C34"/>
      <pageMargins left="0.7" right="0.7" top="0.75" bottom="0.75" header="0.3" footer="0.3"/>
    </customSheetView>
  </customSheetViews>
  <mergeCells count="1">
    <mergeCell ref="C27:E27"/>
  </mergeCells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Steps</vt:lpstr>
      <vt:lpstr>Example!Print_Area</vt:lpstr>
      <vt:lpstr>Example!Print_Titles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Watergy</dc:title>
  <dc:creator>APedraza</dc:creator>
  <cp:lastModifiedBy>Christoph Tagwerker</cp:lastModifiedBy>
  <cp:lastPrinted>2009-10-09T18:21:12Z</cp:lastPrinted>
  <dcterms:created xsi:type="dcterms:W3CDTF">1996-11-27T10:00:04Z</dcterms:created>
  <dcterms:modified xsi:type="dcterms:W3CDTF">2011-01-04T19:30:06Z</dcterms:modified>
</cp:coreProperties>
</file>